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showInkAnnotation="0" autoCompressPictures="0"/>
  <bookViews>
    <workbookView xWindow="5280" yWindow="0" windowWidth="26460" windowHeight="19820"/>
  </bookViews>
  <sheets>
    <sheet name="Budget" sheetId="1" r:id="rId1"/>
    <sheet name="Schedule" sheetId="5" r:id="rId2"/>
  </sheets>
  <definedNames>
    <definedName name="_xlnm.Print_Area" localSheetId="0">Budget!$A$1:$N$104</definedName>
    <definedName name="_xlnm.Print_Area" localSheetId="1">Schedule!$A$1:$R$81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1" i="1" l="1"/>
  <c r="D104" i="1"/>
  <c r="F104" i="1"/>
  <c r="G104" i="1"/>
  <c r="I104" i="1"/>
  <c r="L104" i="1"/>
  <c r="K77" i="1"/>
  <c r="K104" i="1"/>
  <c r="J82" i="1"/>
  <c r="J104" i="1"/>
  <c r="G76" i="1"/>
  <c r="G73" i="1"/>
  <c r="G72" i="1"/>
  <c r="G70" i="1"/>
  <c r="G63" i="1"/>
  <c r="J76" i="1"/>
  <c r="F73" i="1"/>
  <c r="I73" i="1"/>
  <c r="J73" i="1"/>
  <c r="F72" i="1"/>
  <c r="I72" i="1"/>
  <c r="J72" i="1"/>
  <c r="F70" i="1"/>
  <c r="I70" i="1"/>
  <c r="J70" i="1"/>
  <c r="F63" i="1"/>
  <c r="I63" i="1"/>
  <c r="J63" i="1"/>
  <c r="J67" i="1"/>
  <c r="L33" i="1"/>
  <c r="E29" i="1"/>
  <c r="F29" i="1"/>
  <c r="I29" i="1"/>
  <c r="K29" i="1"/>
  <c r="F30" i="1"/>
  <c r="I30" i="1"/>
  <c r="K30" i="1"/>
  <c r="F31" i="1"/>
  <c r="I31" i="1"/>
  <c r="K31" i="1"/>
  <c r="K33" i="1"/>
  <c r="F32" i="1"/>
  <c r="I32" i="1"/>
  <c r="J32" i="1"/>
  <c r="J33" i="1"/>
  <c r="I33" i="1"/>
  <c r="D33" i="1"/>
  <c r="F33" i="1"/>
  <c r="H33" i="1"/>
  <c r="G32" i="1"/>
  <c r="G33" i="1"/>
  <c r="E33" i="1"/>
  <c r="E31" i="1"/>
  <c r="E30" i="1"/>
  <c r="D15" i="1"/>
  <c r="D18" i="1"/>
  <c r="D19" i="1"/>
  <c r="D27" i="1"/>
  <c r="C37" i="1"/>
  <c r="C38" i="1"/>
  <c r="C39" i="1"/>
  <c r="C40" i="1"/>
  <c r="C41" i="1"/>
  <c r="C42" i="1"/>
  <c r="C43" i="1"/>
  <c r="D36" i="1"/>
  <c r="C45" i="1"/>
  <c r="C46" i="1"/>
  <c r="C47" i="1"/>
  <c r="C48" i="1"/>
  <c r="C49" i="1"/>
  <c r="D44" i="1"/>
  <c r="C51" i="1"/>
  <c r="C52" i="1"/>
  <c r="D50" i="1"/>
  <c r="D53" i="1"/>
  <c r="D60" i="1"/>
  <c r="D69" i="1"/>
  <c r="D74" i="1"/>
  <c r="D77" i="1"/>
  <c r="D82" i="1"/>
  <c r="D85" i="1"/>
  <c r="D90" i="1"/>
  <c r="D98" i="1"/>
  <c r="D103" i="1"/>
  <c r="F101" i="1"/>
  <c r="G101" i="1"/>
  <c r="I101" i="1"/>
  <c r="J101" i="1"/>
  <c r="F85" i="1"/>
  <c r="F88" i="1"/>
  <c r="F89" i="1"/>
  <c r="F90" i="1"/>
  <c r="G85" i="1"/>
  <c r="G88" i="1"/>
  <c r="G89" i="1"/>
  <c r="G90" i="1"/>
  <c r="I85" i="1"/>
  <c r="I88" i="1"/>
  <c r="I89" i="1"/>
  <c r="I90" i="1"/>
  <c r="J85" i="1"/>
  <c r="J88" i="1"/>
  <c r="J89" i="1"/>
  <c r="J90" i="1"/>
  <c r="F76" i="1"/>
  <c r="I76" i="1"/>
  <c r="F81" i="1"/>
  <c r="G81" i="1"/>
  <c r="I81" i="1"/>
  <c r="E80" i="1"/>
  <c r="F80" i="1"/>
  <c r="I80" i="1"/>
  <c r="K80" i="1"/>
  <c r="E79" i="1"/>
  <c r="F79" i="1"/>
  <c r="I79" i="1"/>
  <c r="K79" i="1"/>
  <c r="C64" i="1"/>
  <c r="E64" i="1"/>
  <c r="F64" i="1"/>
  <c r="I64" i="1"/>
  <c r="K64" i="1"/>
  <c r="C65" i="1"/>
  <c r="E65" i="1"/>
  <c r="F65" i="1"/>
  <c r="I65" i="1"/>
  <c r="K65" i="1"/>
  <c r="C66" i="1"/>
  <c r="E66" i="1"/>
  <c r="F66" i="1"/>
  <c r="I66" i="1"/>
  <c r="K66" i="1"/>
  <c r="K67" i="1"/>
  <c r="L67" i="1"/>
  <c r="I67" i="1"/>
  <c r="F67" i="1"/>
  <c r="D62" i="1"/>
  <c r="D67" i="1"/>
  <c r="F25" i="1"/>
  <c r="I25" i="1"/>
  <c r="K25" i="1"/>
  <c r="F18" i="1"/>
  <c r="I18" i="1"/>
  <c r="K18" i="1"/>
  <c r="L18" i="1"/>
  <c r="F19" i="1"/>
  <c r="I19" i="1"/>
  <c r="K19" i="1"/>
  <c r="L19" i="1"/>
  <c r="L27" i="1"/>
  <c r="E37" i="1"/>
  <c r="F37" i="1"/>
  <c r="I37" i="1"/>
  <c r="K37" i="1"/>
  <c r="L37" i="1"/>
  <c r="E38" i="1"/>
  <c r="F38" i="1"/>
  <c r="I38" i="1"/>
  <c r="K38" i="1"/>
  <c r="L38" i="1"/>
  <c r="E39" i="1"/>
  <c r="F39" i="1"/>
  <c r="I39" i="1"/>
  <c r="K39" i="1"/>
  <c r="L39" i="1"/>
  <c r="E40" i="1"/>
  <c r="F40" i="1"/>
  <c r="I40" i="1"/>
  <c r="K40" i="1"/>
  <c r="L40" i="1"/>
  <c r="E41" i="1"/>
  <c r="F41" i="1"/>
  <c r="I41" i="1"/>
  <c r="K41" i="1"/>
  <c r="L41" i="1"/>
  <c r="E42" i="1"/>
  <c r="F42" i="1"/>
  <c r="I42" i="1"/>
  <c r="K42" i="1"/>
  <c r="L42" i="1"/>
  <c r="E43" i="1"/>
  <c r="F43" i="1"/>
  <c r="I43" i="1"/>
  <c r="K43" i="1"/>
  <c r="L43" i="1"/>
  <c r="E45" i="1"/>
  <c r="F45" i="1"/>
  <c r="I45" i="1"/>
  <c r="K45" i="1"/>
  <c r="L45" i="1"/>
  <c r="E46" i="1"/>
  <c r="F46" i="1"/>
  <c r="I46" i="1"/>
  <c r="K46" i="1"/>
  <c r="L46" i="1"/>
  <c r="E47" i="1"/>
  <c r="F47" i="1"/>
  <c r="I47" i="1"/>
  <c r="K47" i="1"/>
  <c r="L47" i="1"/>
  <c r="E48" i="1"/>
  <c r="F48" i="1"/>
  <c r="I48" i="1"/>
  <c r="K48" i="1"/>
  <c r="L48" i="1"/>
  <c r="E49" i="1"/>
  <c r="F49" i="1"/>
  <c r="I49" i="1"/>
  <c r="K49" i="1"/>
  <c r="L49" i="1"/>
  <c r="E51" i="1"/>
  <c r="F51" i="1"/>
  <c r="I51" i="1"/>
  <c r="K51" i="1"/>
  <c r="L51" i="1"/>
  <c r="E52" i="1"/>
  <c r="F52" i="1"/>
  <c r="I52" i="1"/>
  <c r="K52" i="1"/>
  <c r="L52" i="1"/>
  <c r="E54" i="1"/>
  <c r="F54" i="1"/>
  <c r="I54" i="1"/>
  <c r="K54" i="1"/>
  <c r="L54" i="1"/>
  <c r="E55" i="1"/>
  <c r="F55" i="1"/>
  <c r="I55" i="1"/>
  <c r="K55" i="1"/>
  <c r="L55" i="1"/>
  <c r="E56" i="1"/>
  <c r="F56" i="1"/>
  <c r="I56" i="1"/>
  <c r="K56" i="1"/>
  <c r="L56" i="1"/>
  <c r="F35" i="1"/>
  <c r="I35" i="1"/>
  <c r="K35" i="1"/>
  <c r="L35" i="1"/>
  <c r="L60" i="1"/>
  <c r="L15" i="1"/>
  <c r="L77" i="1"/>
  <c r="L82" i="1"/>
  <c r="L103" i="1"/>
  <c r="F21" i="1"/>
  <c r="I21" i="1"/>
  <c r="K21" i="1"/>
  <c r="F20" i="1"/>
  <c r="I20" i="1"/>
  <c r="K20" i="1"/>
  <c r="F22" i="1"/>
  <c r="I22" i="1"/>
  <c r="K22" i="1"/>
  <c r="F23" i="1"/>
  <c r="I23" i="1"/>
  <c r="K23" i="1"/>
  <c r="K27" i="1"/>
  <c r="E71" i="1"/>
  <c r="F71" i="1"/>
  <c r="I71" i="1"/>
  <c r="K71" i="1"/>
  <c r="K82" i="1"/>
  <c r="E57" i="1"/>
  <c r="F57" i="1"/>
  <c r="I57" i="1"/>
  <c r="K57" i="1"/>
  <c r="K60" i="1"/>
  <c r="F6" i="1"/>
  <c r="G6" i="1"/>
  <c r="I6" i="1"/>
  <c r="K6" i="1"/>
  <c r="F13" i="1"/>
  <c r="G13" i="1"/>
  <c r="I13" i="1"/>
  <c r="K13" i="1"/>
  <c r="K15" i="1"/>
  <c r="K103" i="1"/>
  <c r="E17" i="1"/>
  <c r="F17" i="1"/>
  <c r="I17" i="1"/>
  <c r="E26" i="1"/>
  <c r="F26" i="1"/>
  <c r="I26" i="1"/>
  <c r="I27" i="1"/>
  <c r="E75" i="1"/>
  <c r="F75" i="1"/>
  <c r="I75" i="1"/>
  <c r="I77" i="1"/>
  <c r="F58" i="1"/>
  <c r="I58" i="1"/>
  <c r="E59" i="1"/>
  <c r="F59" i="1"/>
  <c r="I59" i="1"/>
  <c r="I60" i="1"/>
  <c r="F92" i="1"/>
  <c r="G92" i="1"/>
  <c r="I92" i="1"/>
  <c r="F93" i="1"/>
  <c r="G93" i="1"/>
  <c r="I93" i="1"/>
  <c r="F97" i="1"/>
  <c r="G97" i="1"/>
  <c r="I97" i="1"/>
  <c r="F94" i="1"/>
  <c r="G94" i="1"/>
  <c r="I94" i="1"/>
  <c r="F95" i="1"/>
  <c r="G95" i="1"/>
  <c r="I95" i="1"/>
  <c r="F96" i="1"/>
  <c r="G96" i="1"/>
  <c r="I96" i="1"/>
  <c r="I98" i="1"/>
  <c r="F100" i="1"/>
  <c r="G100" i="1"/>
  <c r="I100" i="1"/>
  <c r="F102" i="1"/>
  <c r="G102" i="1"/>
  <c r="I102" i="1"/>
  <c r="I103" i="1"/>
  <c r="F14" i="1"/>
  <c r="I14" i="1"/>
  <c r="I15" i="1"/>
  <c r="I82" i="1"/>
  <c r="G98" i="1"/>
  <c r="G103" i="1"/>
  <c r="G14" i="1"/>
  <c r="G15" i="1"/>
  <c r="G58" i="1"/>
  <c r="G59" i="1"/>
  <c r="G60" i="1"/>
  <c r="G77" i="1"/>
  <c r="G82" i="1"/>
  <c r="F27" i="1"/>
  <c r="F60" i="1"/>
  <c r="F77" i="1"/>
  <c r="F98" i="1"/>
  <c r="F103" i="1"/>
  <c r="F15" i="1"/>
  <c r="F82" i="1"/>
  <c r="J75" i="1"/>
  <c r="J77" i="1"/>
  <c r="J27" i="1"/>
  <c r="J98" i="1"/>
  <c r="J100" i="1"/>
  <c r="J102" i="1"/>
  <c r="J103" i="1"/>
  <c r="J14" i="1"/>
  <c r="J15" i="1"/>
  <c r="J58" i="1"/>
  <c r="J60" i="1"/>
  <c r="E103" i="1"/>
  <c r="L66" i="1"/>
  <c r="L65" i="1"/>
  <c r="L64" i="1"/>
  <c r="J95" i="1"/>
  <c r="H98" i="1"/>
  <c r="E98" i="1"/>
  <c r="J97" i="1"/>
  <c r="J96" i="1"/>
  <c r="J94" i="1"/>
  <c r="J93" i="1"/>
  <c r="J92" i="1"/>
  <c r="H82" i="1"/>
  <c r="E82" i="1"/>
  <c r="H77" i="1"/>
  <c r="E77" i="1"/>
  <c r="H60" i="1"/>
  <c r="E60" i="1"/>
  <c r="H27" i="1"/>
  <c r="E27" i="1"/>
  <c r="H15" i="1"/>
  <c r="E15" i="1"/>
  <c r="AA9" i="5"/>
  <c r="Z9" i="5"/>
  <c r="Y7" i="5"/>
  <c r="Y8" i="5"/>
  <c r="Y9" i="5"/>
  <c r="X7" i="5"/>
  <c r="X8" i="5"/>
  <c r="X9" i="5"/>
  <c r="W5" i="5"/>
  <c r="W6" i="5"/>
  <c r="W9" i="5"/>
  <c r="V5" i="5"/>
  <c r="V6" i="5"/>
  <c r="V9" i="5"/>
  <c r="U9" i="5"/>
  <c r="U11" i="5"/>
  <c r="U15" i="5"/>
  <c r="U17" i="5"/>
  <c r="U18" i="5"/>
  <c r="U26" i="5"/>
  <c r="U28" i="5"/>
  <c r="U58" i="5"/>
  <c r="U70" i="5"/>
  <c r="U74" i="5"/>
  <c r="U77" i="5"/>
  <c r="U80" i="5"/>
  <c r="U81" i="5"/>
  <c r="V19" i="5"/>
  <c r="V20" i="5"/>
  <c r="V21" i="5"/>
  <c r="V26" i="5"/>
  <c r="V12" i="5"/>
  <c r="V13" i="5"/>
  <c r="V15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8" i="5"/>
  <c r="V60" i="5"/>
  <c r="V61" i="5"/>
  <c r="V62" i="5"/>
  <c r="V63" i="5"/>
  <c r="V64" i="5"/>
  <c r="V65" i="5"/>
  <c r="V66" i="5"/>
  <c r="V70" i="5"/>
  <c r="V74" i="5"/>
  <c r="V77" i="5"/>
  <c r="V80" i="5"/>
  <c r="V81" i="5"/>
  <c r="W12" i="5"/>
  <c r="W13" i="5"/>
  <c r="W15" i="5"/>
  <c r="W19" i="5"/>
  <c r="W20" i="5"/>
  <c r="W21" i="5"/>
  <c r="W26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8" i="5"/>
  <c r="W60" i="5"/>
  <c r="W61" i="5"/>
  <c r="W62" i="5"/>
  <c r="W63" i="5"/>
  <c r="W64" i="5"/>
  <c r="W65" i="5"/>
  <c r="W66" i="5"/>
  <c r="W70" i="5"/>
  <c r="W74" i="5"/>
  <c r="W77" i="5"/>
  <c r="W80" i="5"/>
  <c r="W81" i="5"/>
  <c r="X14" i="5"/>
  <c r="X15" i="5"/>
  <c r="X22" i="5"/>
  <c r="X23" i="5"/>
  <c r="X24" i="5"/>
  <c r="X25" i="5"/>
  <c r="X26" i="5"/>
  <c r="X55" i="5"/>
  <c r="X56" i="5"/>
  <c r="X57" i="5"/>
  <c r="X58" i="5"/>
  <c r="X67" i="5"/>
  <c r="X68" i="5"/>
  <c r="X69" i="5"/>
  <c r="X70" i="5"/>
  <c r="X72" i="5"/>
  <c r="X73" i="5"/>
  <c r="X74" i="5"/>
  <c r="X76" i="5"/>
  <c r="X77" i="5"/>
  <c r="X79" i="5"/>
  <c r="X80" i="5"/>
  <c r="X81" i="5"/>
  <c r="Y14" i="5"/>
  <c r="Y15" i="5"/>
  <c r="Y22" i="5"/>
  <c r="Y23" i="5"/>
  <c r="Y24" i="5"/>
  <c r="Y25" i="5"/>
  <c r="Y26" i="5"/>
  <c r="Y55" i="5"/>
  <c r="Y56" i="5"/>
  <c r="Y57" i="5"/>
  <c r="Y58" i="5"/>
  <c r="Y67" i="5"/>
  <c r="Y68" i="5"/>
  <c r="Y69" i="5"/>
  <c r="Y70" i="5"/>
  <c r="Y72" i="5"/>
  <c r="Y73" i="5"/>
  <c r="Y74" i="5"/>
  <c r="Y76" i="5"/>
  <c r="Y77" i="5"/>
  <c r="Y79" i="5"/>
  <c r="Y80" i="5"/>
  <c r="Y81" i="5"/>
  <c r="Z15" i="5"/>
  <c r="Z26" i="5"/>
  <c r="Z58" i="5"/>
  <c r="Z70" i="5"/>
  <c r="Z74" i="5"/>
  <c r="Z77" i="5"/>
  <c r="Z80" i="5"/>
  <c r="Z81" i="5"/>
  <c r="AA15" i="5"/>
  <c r="AA26" i="5"/>
  <c r="AA58" i="5"/>
  <c r="AA70" i="5"/>
  <c r="AA74" i="5"/>
  <c r="AA77" i="5"/>
  <c r="AA80" i="5"/>
  <c r="AA81" i="5"/>
  <c r="T9" i="5"/>
  <c r="T11" i="5"/>
  <c r="T15" i="5"/>
  <c r="T17" i="5"/>
  <c r="T18" i="5"/>
  <c r="T26" i="5"/>
  <c r="T28" i="5"/>
  <c r="T58" i="5"/>
  <c r="T70" i="5"/>
  <c r="T74" i="5"/>
  <c r="T77" i="5"/>
  <c r="T80" i="5"/>
  <c r="T81" i="5"/>
</calcChain>
</file>

<file path=xl/sharedStrings.xml><?xml version="1.0" encoding="utf-8"?>
<sst xmlns="http://schemas.openxmlformats.org/spreadsheetml/2006/main" count="358" uniqueCount="252">
  <si>
    <t>c</t>
    <phoneticPr fontId="16" type="noConversion"/>
  </si>
  <si>
    <t>d</t>
    <phoneticPr fontId="16" type="noConversion"/>
  </si>
  <si>
    <t>FY09</t>
    <phoneticPr fontId="16" type="noConversion"/>
  </si>
  <si>
    <t>FY10</t>
    <phoneticPr fontId="16" type="noConversion"/>
  </si>
  <si>
    <t>FY11</t>
    <phoneticPr fontId="16" type="noConversion"/>
  </si>
  <si>
    <t>FY12</t>
    <phoneticPr fontId="16" type="noConversion"/>
  </si>
  <si>
    <t>FY13</t>
    <phoneticPr fontId="16" type="noConversion"/>
  </si>
  <si>
    <t>bc</t>
    <phoneticPr fontId="16" type="noConversion"/>
  </si>
  <si>
    <t>de</t>
    <phoneticPr fontId="16" type="noConversion"/>
  </si>
  <si>
    <t>f</t>
    <phoneticPr fontId="16" type="noConversion"/>
  </si>
  <si>
    <t>g</t>
    <phoneticPr fontId="16" type="noConversion"/>
  </si>
  <si>
    <t>h</t>
    <phoneticPr fontId="16" type="noConversion"/>
  </si>
  <si>
    <t>...e</t>
    <phoneticPr fontId="16" type="noConversion"/>
  </si>
  <si>
    <t>Grand Total:</t>
    <phoneticPr fontId="16" type="noConversion"/>
  </si>
  <si>
    <t>CONACYT</t>
    <phoneticPr fontId="1" type="noConversion"/>
  </si>
  <si>
    <t>&amp; UNAM</t>
    <phoneticPr fontId="1" type="noConversion"/>
  </si>
  <si>
    <t>4.6.1</t>
    <phoneticPr fontId="1" type="noConversion"/>
  </si>
  <si>
    <t>4.6.2</t>
    <phoneticPr fontId="1" type="noConversion"/>
  </si>
  <si>
    <t>4.6.3</t>
    <phoneticPr fontId="1" type="noConversion"/>
  </si>
  <si>
    <t>Chamber Assembly</t>
    <phoneticPr fontId="1" type="noConversion"/>
  </si>
  <si>
    <t xml:space="preserve">   Assembly of wire frame and wires</t>
    <phoneticPr fontId="1" type="noConversion"/>
  </si>
  <si>
    <t xml:space="preserve">   Installation and alignment of wire frame</t>
    <phoneticPr fontId="1" type="noConversion"/>
  </si>
  <si>
    <t xml:space="preserve">   Gas filling and testing</t>
    <phoneticPr fontId="1" type="noConversion"/>
  </si>
  <si>
    <t>FY09</t>
    <phoneticPr fontId="16" type="noConversion"/>
  </si>
  <si>
    <t>DOE</t>
    <phoneticPr fontId="16" type="noConversion"/>
  </si>
  <si>
    <t>Other</t>
    <phoneticPr fontId="16" type="noConversion"/>
  </si>
  <si>
    <t>FY10</t>
    <phoneticPr fontId="16" type="noConversion"/>
  </si>
  <si>
    <t>FY11</t>
    <phoneticPr fontId="16" type="noConversion"/>
  </si>
  <si>
    <t>FY12</t>
    <phoneticPr fontId="16" type="noConversion"/>
  </si>
  <si>
    <t>Funding Profile</t>
    <phoneticPr fontId="16" type="noConversion"/>
  </si>
  <si>
    <t>Total:</t>
    <phoneticPr fontId="16" type="noConversion"/>
  </si>
  <si>
    <t>Total:</t>
    <phoneticPr fontId="16" type="noConversion"/>
  </si>
  <si>
    <t>RF Spin Flipper Milestones</t>
    <phoneticPr fontId="16" type="noConversion"/>
  </si>
  <si>
    <t>Magnetic Fields and Shields Milestones</t>
    <phoneticPr fontId="1" type="noConversion"/>
  </si>
  <si>
    <t>Target/Detector Milestones</t>
    <phoneticPr fontId="1" type="noConversion"/>
  </si>
  <si>
    <t>DAQ System Milestones</t>
    <phoneticPr fontId="16" type="noConversion"/>
  </si>
  <si>
    <t>Shielding/Collimation Milestones</t>
    <phoneticPr fontId="1" type="noConversion"/>
  </si>
  <si>
    <t>Alignment Milestones</t>
    <phoneticPr fontId="1" type="noConversion"/>
  </si>
  <si>
    <t>Operating costs Milestones</t>
    <phoneticPr fontId="16" type="noConversion"/>
  </si>
  <si>
    <t>Polarized  Beam Milestones</t>
    <phoneticPr fontId="16" type="noConversion"/>
  </si>
  <si>
    <t>a</t>
    <phoneticPr fontId="16" type="noConversion"/>
  </si>
  <si>
    <t>ab</t>
    <phoneticPr fontId="16" type="noConversion"/>
  </si>
  <si>
    <t>c</t>
    <phoneticPr fontId="16" type="noConversion"/>
  </si>
  <si>
    <t>a</t>
    <phoneticPr fontId="16" type="noConversion"/>
  </si>
  <si>
    <t>b</t>
    <phoneticPr fontId="16" type="noConversion"/>
  </si>
  <si>
    <t xml:space="preserve">   Nano Fabricationlab</t>
    <phoneticPr fontId="1" type="noConversion"/>
  </si>
  <si>
    <t>NSERC</t>
    <phoneticPr fontId="1" type="noConversion"/>
  </si>
  <si>
    <t>CFI</t>
    <phoneticPr fontId="1" type="noConversion"/>
  </si>
  <si>
    <t>NSF</t>
    <phoneticPr fontId="1" type="noConversion"/>
  </si>
  <si>
    <t>TOTALS</t>
    <phoneticPr fontId="1" type="noConversion"/>
  </si>
  <si>
    <t>(others)</t>
    <phoneticPr fontId="1" type="noConversion"/>
  </si>
  <si>
    <t>funding</t>
    <phoneticPr fontId="1" type="noConversion"/>
  </si>
  <si>
    <t>in hand</t>
    <phoneticPr fontId="1" type="noConversion"/>
  </si>
  <si>
    <t>Operation</t>
    <phoneticPr fontId="1" type="noConversion"/>
  </si>
  <si>
    <t>Operating costs</t>
    <phoneticPr fontId="1" type="noConversion"/>
  </si>
  <si>
    <t>Overhead for ORNL labor</t>
  </si>
  <si>
    <t>Overhead for ORNL material</t>
  </si>
  <si>
    <t>Overhead UNAM</t>
    <phoneticPr fontId="1" type="noConversion"/>
  </si>
  <si>
    <t xml:space="preserve">Overhead for DOE grant </t>
    <phoneticPr fontId="1" type="noConversion"/>
  </si>
  <si>
    <t>Overhead ASU</t>
    <phoneticPr fontId="1" type="noConversion"/>
  </si>
  <si>
    <t>Field Alignment</t>
    <phoneticPr fontId="1" type="noConversion"/>
  </si>
  <si>
    <t>Beam alignment</t>
  </si>
  <si>
    <t>Beam polarization measurement</t>
    <phoneticPr fontId="1" type="noConversion"/>
  </si>
  <si>
    <t>Detector alignment</t>
    <phoneticPr fontId="1" type="noConversion"/>
  </si>
  <si>
    <t>Alignment</t>
    <phoneticPr fontId="1" type="noConversion"/>
  </si>
  <si>
    <t>Survey technician - 2 wks</t>
    <phoneticPr fontId="1" type="noConversion"/>
  </si>
  <si>
    <t>Overhead UNH</t>
    <phoneticPr fontId="1" type="noConversion"/>
  </si>
  <si>
    <t>Installation at FNPB</t>
    <phoneticPr fontId="1" type="noConversion"/>
  </si>
  <si>
    <t>Target/Detector Total</t>
    <phoneticPr fontId="1" type="noConversion"/>
  </si>
  <si>
    <t>Shielding/Collimation Total</t>
    <phoneticPr fontId="1" type="noConversion"/>
  </si>
  <si>
    <t>n-3He Schedule</t>
    <phoneticPr fontId="16" type="noConversion"/>
  </si>
  <si>
    <t xml:space="preserve">   Aluminum chamber</t>
    <phoneticPr fontId="1" type="noConversion"/>
  </si>
  <si>
    <t xml:space="preserve">   Macor wire frame</t>
    <phoneticPr fontId="1" type="noConversion"/>
  </si>
  <si>
    <t xml:space="preserve">   Copper wire (plated) - 1500 ft</t>
    <phoneticPr fontId="1" type="noConversion"/>
  </si>
  <si>
    <t xml:space="preserve">   Helium 3 gas - 30 L</t>
    <phoneticPr fontId="1" type="noConversion"/>
  </si>
  <si>
    <t xml:space="preserve">   High voltage feedthroughs - 4</t>
    <phoneticPr fontId="1" type="noConversion"/>
  </si>
  <si>
    <t xml:space="preserve">   Instrumentation feedthroughs - 10</t>
    <phoneticPr fontId="1" type="noConversion"/>
  </si>
  <si>
    <t xml:space="preserve">   Gas feedthrough (1/2 in) - 2</t>
    <phoneticPr fontId="1" type="noConversion"/>
  </si>
  <si>
    <t>Electronics</t>
    <phoneticPr fontId="1" type="noConversion"/>
  </si>
  <si>
    <t>4.3.1</t>
    <phoneticPr fontId="1" type="noConversion"/>
  </si>
  <si>
    <t>4.3.2</t>
    <phoneticPr fontId="1" type="noConversion"/>
  </si>
  <si>
    <t>4.3.3</t>
  </si>
  <si>
    <t>4.3.5</t>
  </si>
  <si>
    <t xml:space="preserve">   Low voltage power supplies - 2</t>
    <phoneticPr fontId="1" type="noConversion"/>
  </si>
  <si>
    <t xml:space="preserve">   High voltage power supply - 1</t>
    <phoneticPr fontId="1" type="noConversion"/>
  </si>
  <si>
    <t xml:space="preserve">  Preamplifiers - 400 ch</t>
    <phoneticPr fontId="1" type="noConversion"/>
  </si>
  <si>
    <t xml:space="preserve">   Cables - 400</t>
    <phoneticPr fontId="1" type="noConversion"/>
  </si>
  <si>
    <t>Gas handling system</t>
    <phoneticPr fontId="1" type="noConversion"/>
  </si>
  <si>
    <t>4.4.1</t>
    <phoneticPr fontId="1" type="noConversion"/>
  </si>
  <si>
    <t>4.4.2</t>
    <phoneticPr fontId="1" type="noConversion"/>
  </si>
  <si>
    <t>4.4.3</t>
  </si>
  <si>
    <t>4.4.4</t>
  </si>
  <si>
    <t xml:space="preserve">   Valves</t>
    <phoneticPr fontId="1" type="noConversion"/>
  </si>
  <si>
    <t xml:space="preserve">   Pumping station</t>
    <phoneticPr fontId="1" type="noConversion"/>
  </si>
  <si>
    <t xml:space="preserve">   Residual gas analyzer</t>
    <phoneticPr fontId="1" type="noConversion"/>
  </si>
  <si>
    <t xml:space="preserve">   Pressure gauges</t>
    <phoneticPr fontId="1" type="noConversion"/>
  </si>
  <si>
    <t>4.4.5</t>
    <phoneticPr fontId="1" type="noConversion"/>
  </si>
  <si>
    <t xml:space="preserve">   Heater and heating tape</t>
    <phoneticPr fontId="1" type="noConversion"/>
  </si>
  <si>
    <t>Fabrication</t>
    <phoneticPr fontId="1" type="noConversion"/>
  </si>
  <si>
    <t>4.5.1</t>
    <phoneticPr fontId="1" type="noConversion"/>
  </si>
  <si>
    <t xml:space="preserve">   Machining - 100 hrs</t>
    <phoneticPr fontId="1" type="noConversion"/>
  </si>
  <si>
    <t>4.5.2</t>
    <phoneticPr fontId="1" type="noConversion"/>
  </si>
  <si>
    <t>UVa / Stefan</t>
    <phoneticPr fontId="1" type="noConversion"/>
  </si>
  <si>
    <t>ASU / Ricardo</t>
    <phoneticPr fontId="1" type="noConversion"/>
  </si>
  <si>
    <t>UNAM / Libertad</t>
    <phoneticPr fontId="1" type="noConversion"/>
  </si>
  <si>
    <t>NCSU / Pil</t>
    <phoneticPr fontId="1" type="noConversion"/>
  </si>
  <si>
    <t>Field Calculations</t>
    <phoneticPr fontId="1" type="noConversion"/>
  </si>
  <si>
    <t>Design coils</t>
    <phoneticPr fontId="1" type="noConversion"/>
  </si>
  <si>
    <t>Installation at FNPB</t>
    <phoneticPr fontId="1" type="noConversion"/>
  </si>
  <si>
    <t>Field Monitoring</t>
    <phoneticPr fontId="1" type="noConversion"/>
  </si>
  <si>
    <t>UNH / John</t>
    <phoneticPr fontId="1" type="noConversion"/>
  </si>
  <si>
    <t>Manitoba / Michael</t>
    <phoneticPr fontId="1" type="noConversion"/>
  </si>
  <si>
    <t>UKy / Chris</t>
    <phoneticPr fontId="1" type="noConversion"/>
  </si>
  <si>
    <t>Magnetic Fields</t>
    <phoneticPr fontId="1" type="noConversion"/>
  </si>
  <si>
    <t>DAQ system</t>
    <phoneticPr fontId="1" type="noConversion"/>
  </si>
  <si>
    <t>VME Crate</t>
    <phoneticPr fontId="1" type="noConversion"/>
  </si>
  <si>
    <t>Single Board Computers</t>
    <phoneticPr fontId="1" type="noConversion"/>
  </si>
  <si>
    <t>Digitizers</t>
    <phoneticPr fontId="1" type="noConversion"/>
  </si>
  <si>
    <t>Trigger Module</t>
    <phoneticPr fontId="1" type="noConversion"/>
  </si>
  <si>
    <t>5.2.1</t>
    <phoneticPr fontId="1" type="noConversion"/>
  </si>
  <si>
    <t>Data transfer and storage</t>
    <phoneticPr fontId="1" type="noConversion"/>
  </si>
  <si>
    <t xml:space="preserve">   Workstation</t>
    <phoneticPr fontId="1" type="noConversion"/>
  </si>
  <si>
    <t>5.2.2</t>
    <phoneticPr fontId="1" type="noConversion"/>
  </si>
  <si>
    <t xml:space="preserve">   Raid storage array</t>
    <phoneticPr fontId="1" type="noConversion"/>
  </si>
  <si>
    <t>Procure wire chamber</t>
    <phoneticPr fontId="1" type="noConversion"/>
  </si>
  <si>
    <t>4.2.1</t>
    <phoneticPr fontId="1" type="noConversion"/>
  </si>
  <si>
    <t>4.2.2</t>
    <phoneticPr fontId="1" type="noConversion"/>
  </si>
  <si>
    <t>4.2.3</t>
  </si>
  <si>
    <t>4.2.4</t>
  </si>
  <si>
    <t>4.2.5</t>
  </si>
  <si>
    <t>4.2.6</t>
  </si>
  <si>
    <t>4.2.7</t>
  </si>
  <si>
    <t>Digitization</t>
  </si>
  <si>
    <t>5.1.1</t>
  </si>
  <si>
    <t>5.1.2</t>
  </si>
  <si>
    <t>n-3He Budget</t>
  </si>
  <si>
    <t>Polarized Beam</t>
  </si>
  <si>
    <t>Polarizer</t>
  </si>
  <si>
    <t>RF Spin Flipper</t>
  </si>
  <si>
    <t>Design (coils, body, support)</t>
  </si>
  <si>
    <t>Installation in FNPB</t>
  </si>
  <si>
    <t>Electronics</t>
  </si>
  <si>
    <t>RF Spin Flipper Total</t>
  </si>
  <si>
    <t>Procure solenoid</t>
  </si>
  <si>
    <t xml:space="preserve">Procure transition field coil </t>
  </si>
  <si>
    <t>Procure stands</t>
  </si>
  <si>
    <t>Design stands for shielding and coils</t>
  </si>
  <si>
    <t>Target/detector</t>
  </si>
  <si>
    <t>Design of tgt/detector</t>
  </si>
  <si>
    <t>Overhead at Manitoba</t>
  </si>
  <si>
    <t>Overhead Kentacky</t>
  </si>
  <si>
    <t>Unit costs</t>
  </si>
  <si>
    <t>Beam monitors (stands and shielding)</t>
  </si>
  <si>
    <t>Shielding/collimation</t>
  </si>
  <si>
    <t>Neutron shielding</t>
  </si>
  <si>
    <t>Collimation</t>
  </si>
  <si>
    <t>Procure stand</t>
  </si>
  <si>
    <t>Procurement</t>
  </si>
  <si>
    <t>5.1.3</t>
  </si>
  <si>
    <t>Auxilliary electronics</t>
  </si>
  <si>
    <t>5.1.4</t>
  </si>
  <si>
    <t>5.1.5</t>
  </si>
  <si>
    <t>5.1.6</t>
  </si>
  <si>
    <t>Cables</t>
  </si>
  <si>
    <t>Overhead</t>
  </si>
  <si>
    <t>Contingency</t>
  </si>
  <si>
    <t>Subtotal</t>
  </si>
  <si>
    <t>DAQ System Total</t>
  </si>
  <si>
    <t>Total</t>
  </si>
  <si>
    <t>Item</t>
  </si>
  <si>
    <t>Remarks</t>
  </si>
  <si>
    <t>Responsible institute/leader</t>
  </si>
  <si>
    <t>ORNL / Seppo</t>
    <phoneticPr fontId="1" type="noConversion"/>
  </si>
  <si>
    <t>(operation)</t>
  </si>
  <si>
    <t>Removing NPDGamma apparatus</t>
  </si>
  <si>
    <t>Beam</t>
  </si>
  <si>
    <t>TOTAL</t>
  </si>
  <si>
    <t>Polarimetry</t>
  </si>
  <si>
    <t>Burdened</t>
  </si>
  <si>
    <t>Installation crafts (2 for 1 day)</t>
  </si>
  <si>
    <t>Crafts for installation (2 for 1 day)</t>
  </si>
  <si>
    <t>Removal Total</t>
  </si>
  <si>
    <t>Crafts  (2 guys for 1 day)</t>
  </si>
  <si>
    <t>Engineering support (1 week=40h)</t>
  </si>
  <si>
    <t>Shop time/ Engineering &amp;Reviews</t>
  </si>
  <si>
    <t>Pdiv/SNS shop time (1 week)</t>
  </si>
  <si>
    <t>SNS QA for 2 days</t>
  </si>
  <si>
    <t>4.3.1</t>
  </si>
  <si>
    <t>4.3.2</t>
  </si>
  <si>
    <t>4.3.4</t>
  </si>
  <si>
    <t>4.4.1</t>
  </si>
  <si>
    <t>4.4.2</t>
  </si>
  <si>
    <t>4.5.1</t>
  </si>
  <si>
    <t>4.5.2</t>
  </si>
  <si>
    <t>4.5.3</t>
  </si>
  <si>
    <t>Installation - crane (2 guys 1/2 day)</t>
  </si>
  <si>
    <t>Electronics Total</t>
  </si>
  <si>
    <t>Cables from preamps (SCSI)</t>
  </si>
  <si>
    <t xml:space="preserve">   High voltage power supply - 1</t>
  </si>
  <si>
    <t xml:space="preserve">   Cables</t>
  </si>
  <si>
    <t>Collimation and supports</t>
  </si>
  <si>
    <t>Design of common stand</t>
  </si>
  <si>
    <t>Procure and construct stand</t>
  </si>
  <si>
    <t>Engineering review of stand</t>
  </si>
  <si>
    <t>Beam intensity monitor</t>
  </si>
  <si>
    <t>1.3.1</t>
  </si>
  <si>
    <t>1.3.2</t>
  </si>
  <si>
    <t xml:space="preserve">   Build scanner support </t>
  </si>
  <si>
    <t>1.4.1</t>
  </si>
  <si>
    <t xml:space="preserve">   Design polarimetry</t>
  </si>
  <si>
    <t xml:space="preserve">   Build collimation for intensity studies</t>
  </si>
  <si>
    <t>1.3.3</t>
  </si>
  <si>
    <t xml:space="preserve">   Procure and construct polarimetry</t>
  </si>
  <si>
    <t>1.4.2</t>
  </si>
  <si>
    <t xml:space="preserve">   Fabricate holding structure</t>
  </si>
  <si>
    <t>CONACYT/UNAM</t>
  </si>
  <si>
    <t>University shop</t>
  </si>
  <si>
    <t>Procure and fabricate solenoid</t>
  </si>
  <si>
    <t xml:space="preserve">Procure and fabricate transition field coil </t>
  </si>
  <si>
    <t>Design holders for shielding and coils</t>
  </si>
  <si>
    <t xml:space="preserve">Procure and fabricate holers </t>
  </si>
  <si>
    <t xml:space="preserve">   Design scanning mapper</t>
  </si>
  <si>
    <t xml:space="preserve">   Procure and fabricate mapper</t>
  </si>
  <si>
    <t>Procure chamber holder</t>
  </si>
  <si>
    <t>Detector alignment (alignment folks)</t>
  </si>
  <si>
    <t xml:space="preserve">   Workstations from NPDGamma</t>
  </si>
  <si>
    <t xml:space="preserve">   Low voltage power supplies 2x from NPDGamma</t>
  </si>
  <si>
    <t>Neutron shielding and supports</t>
  </si>
  <si>
    <t>Common stand for experiment</t>
  </si>
  <si>
    <t>Install beamline</t>
  </si>
  <si>
    <t>8.4.1</t>
  </si>
  <si>
    <t>8.4.2</t>
  </si>
  <si>
    <t xml:space="preserve">   Install (craft 2 guys 1 day)</t>
  </si>
  <si>
    <t>Draft support (2weeks) integration to model</t>
  </si>
  <si>
    <t>Verification of rad MCNP calcualtions (a week)</t>
  </si>
  <si>
    <t>Miscellaneous materials</t>
  </si>
  <si>
    <t xml:space="preserve">   Craning (4 guys 1/2 day) stand in and closing the cace roof)</t>
  </si>
  <si>
    <t>Opening cave roof (4 guys 1/2 day)</t>
  </si>
  <si>
    <t>Disconnectiong NPDGamma apparatus (2 crafts 2 days)</t>
  </si>
  <si>
    <t>Crane components out (craft 4 guys 1 day)</t>
  </si>
  <si>
    <t xml:space="preserve">   NPDGamma monitors</t>
  </si>
  <si>
    <t xml:space="preserve">   4x32ch preamp modules</t>
  </si>
  <si>
    <t>Crate and 96ch digitizer cards</t>
  </si>
  <si>
    <t xml:space="preserve">Beam monitors </t>
  </si>
  <si>
    <t>1.1.1</t>
  </si>
  <si>
    <t>Beam Total</t>
  </si>
  <si>
    <t>2.7.2</t>
  </si>
  <si>
    <t>Magnetic Field Total</t>
  </si>
  <si>
    <t>Magnetic Field</t>
  </si>
  <si>
    <t>Version: 10/07/2009/ornl part 01/07/2013</t>
  </si>
  <si>
    <t>Shop time/Engineering Total</t>
  </si>
  <si>
    <t>Common Stand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</si>
</sst>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19" x14ac:knownFonts="1">
    <font>
      <sz val="9"/>
      <color indexed="0"/>
      <name val="Helvetica"/>
    </font>
    <font>
      <sz val="8"/>
      <name val="Helvetica"/>
    </font>
    <font>
      <sz val="11"/>
      <color indexed="0"/>
      <name val="Times New Roman"/>
      <family val="1"/>
    </font>
    <font>
      <sz val="11"/>
      <color indexed="8"/>
      <name val="Times New Roman"/>
      <family val="1"/>
    </font>
    <font>
      <sz val="11"/>
      <color indexed="0"/>
      <name val="Helvetica"/>
    </font>
    <font>
      <sz val="11"/>
      <name val="Times New Roman"/>
      <family val="1"/>
    </font>
    <font>
      <sz val="11"/>
      <color indexed="0"/>
      <name val="Geneva"/>
    </font>
    <font>
      <sz val="11"/>
      <color indexed="10"/>
      <name val="Helvetica"/>
    </font>
    <font>
      <b/>
      <sz val="14"/>
      <color indexed="8"/>
      <name val="Times New Roman"/>
    </font>
    <font>
      <u/>
      <sz val="12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0"/>
      <name val="Helvetica"/>
    </font>
    <font>
      <sz val="8"/>
      <name val="Verdana"/>
    </font>
    <font>
      <u/>
      <sz val="9"/>
      <color theme="10"/>
      <name val="Helvetica"/>
    </font>
    <font>
      <u/>
      <sz val="9"/>
      <color theme="11"/>
      <name val="Helvetica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46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3" fillId="0" borderId="0" xfId="0" applyFont="1" applyBorder="1" applyAlignment="1"/>
    <xf numFmtId="0" fontId="2" fillId="2" borderId="6" xfId="0" applyFont="1" applyFill="1" applyBorder="1" applyAlignment="1"/>
    <xf numFmtId="0" fontId="3" fillId="0" borderId="0" xfId="0" applyFont="1" applyFill="1"/>
    <xf numFmtId="0" fontId="4" fillId="0" borderId="0" xfId="0" applyFont="1" applyFill="1"/>
    <xf numFmtId="0" fontId="5" fillId="0" borderId="6" xfId="0" applyFont="1" applyFill="1" applyBorder="1" applyAlignment="1">
      <alignment horizontal="left"/>
    </xf>
    <xf numFmtId="0" fontId="3" fillId="0" borderId="0" xfId="0" applyFont="1" applyFill="1" applyBorder="1"/>
    <xf numFmtId="0" fontId="2" fillId="3" borderId="6" xfId="0" applyFont="1" applyFill="1" applyBorder="1" applyAlignment="1"/>
    <xf numFmtId="0" fontId="4" fillId="0" borderId="0" xfId="0" applyFont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2" fillId="5" borderId="13" xfId="0" applyFont="1" applyFill="1" applyBorder="1"/>
    <xf numFmtId="0" fontId="8" fillId="0" borderId="0" xfId="0" applyFont="1" applyFill="1" applyAlignment="1"/>
    <xf numFmtId="0" fontId="2" fillId="0" borderId="4" xfId="0" applyFont="1" applyFill="1" applyBorder="1" applyAlignment="1">
      <alignment horizontal="center"/>
    </xf>
    <xf numFmtId="0" fontId="2" fillId="2" borderId="8" xfId="0" applyFont="1" applyFill="1" applyBorder="1"/>
    <xf numFmtId="0" fontId="2" fillId="0" borderId="0" xfId="0" applyFont="1" applyFill="1" applyAlignment="1">
      <alignment horizontal="right"/>
    </xf>
    <xf numFmtId="14" fontId="9" fillId="0" borderId="0" xfId="0" applyNumberFormat="1" applyFont="1" applyAlignment="1">
      <alignment horizontal="left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 vertical="top"/>
    </xf>
    <xf numFmtId="0" fontId="11" fillId="0" borderId="9" xfId="0" applyFont="1" applyBorder="1" applyAlignment="1"/>
    <xf numFmtId="0" fontId="14" fillId="0" borderId="9" xfId="0" applyFont="1" applyFill="1" applyBorder="1" applyAlignment="1">
      <alignment horizontal="left" vertical="top"/>
    </xf>
    <xf numFmtId="0" fontId="11" fillId="0" borderId="9" xfId="0" applyFont="1" applyBorder="1"/>
    <xf numFmtId="0" fontId="12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left"/>
    </xf>
    <xf numFmtId="1" fontId="2" fillId="2" borderId="6" xfId="0" applyNumberFormat="1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left"/>
    </xf>
    <xf numFmtId="165" fontId="3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left"/>
    </xf>
    <xf numFmtId="165" fontId="12" fillId="0" borderId="9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/>
    <xf numFmtId="165" fontId="2" fillId="2" borderId="6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/>
    <xf numFmtId="165" fontId="10" fillId="0" borderId="6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/>
    <xf numFmtId="165" fontId="13" fillId="0" borderId="9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/>
    <xf numFmtId="165" fontId="2" fillId="3" borderId="6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0" fontId="4" fillId="0" borderId="6" xfId="0" applyFont="1" applyBorder="1"/>
    <xf numFmtId="0" fontId="15" fillId="0" borderId="0" xfId="0" applyFont="1"/>
    <xf numFmtId="9" fontId="3" fillId="0" borderId="7" xfId="0" applyNumberFormat="1" applyFont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9" fontId="3" fillId="0" borderId="7" xfId="0" applyNumberFormat="1" applyFont="1" applyFill="1" applyBorder="1" applyAlignment="1">
      <alignment horizontal="center"/>
    </xf>
    <xf numFmtId="9" fontId="12" fillId="0" borderId="9" xfId="0" applyNumberFormat="1" applyFont="1" applyFill="1" applyBorder="1" applyAlignment="1">
      <alignment horizontal="center"/>
    </xf>
    <xf numFmtId="9" fontId="2" fillId="2" borderId="7" xfId="0" applyNumberFormat="1" applyFont="1" applyFill="1" applyBorder="1" applyAlignment="1">
      <alignment horizontal="center"/>
    </xf>
    <xf numFmtId="9" fontId="2" fillId="0" borderId="7" xfId="0" applyNumberFormat="1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center"/>
    </xf>
    <xf numFmtId="9" fontId="2" fillId="3" borderId="7" xfId="0" applyNumberFormat="1" applyFont="1" applyFill="1" applyBorder="1" applyAlignment="1">
      <alignment horizontal="center"/>
    </xf>
    <xf numFmtId="9" fontId="4" fillId="0" borderId="0" xfId="0" applyNumberFormat="1" applyFont="1"/>
    <xf numFmtId="9" fontId="11" fillId="0" borderId="10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7" xfId="0" applyFont="1" applyFill="1" applyBorder="1" applyAlignment="1"/>
    <xf numFmtId="0" fontId="2" fillId="2" borderId="7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3" borderId="7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indent="1"/>
    </xf>
    <xf numFmtId="0" fontId="5" fillId="2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justify"/>
    </xf>
    <xf numFmtId="0" fontId="2" fillId="0" borderId="5" xfId="0" applyFont="1" applyFill="1" applyBorder="1" applyAlignment="1">
      <alignment horizontal="center" vertical="justify"/>
    </xf>
    <xf numFmtId="0" fontId="5" fillId="0" borderId="7" xfId="0" applyFont="1" applyFill="1" applyBorder="1" applyAlignment="1">
      <alignment horizontal="left" vertical="top"/>
    </xf>
    <xf numFmtId="0" fontId="2" fillId="6" borderId="8" xfId="0" applyFont="1" applyFill="1" applyBorder="1"/>
    <xf numFmtId="0" fontId="2" fillId="8" borderId="6" xfId="0" applyFont="1" applyFill="1" applyBorder="1"/>
    <xf numFmtId="0" fontId="2" fillId="10" borderId="6" xfId="0" applyFont="1" applyFill="1" applyBorder="1"/>
    <xf numFmtId="0" fontId="5" fillId="5" borderId="6" xfId="0" applyFont="1" applyFill="1" applyBorder="1"/>
    <xf numFmtId="0" fontId="2" fillId="7" borderId="6" xfId="0" applyFont="1" applyFill="1" applyBorder="1"/>
    <xf numFmtId="0" fontId="2" fillId="11" borderId="6" xfId="0" applyFont="1" applyFill="1" applyBorder="1"/>
    <xf numFmtId="0" fontId="2" fillId="9" borderId="6" xfId="0" applyFont="1" applyFill="1" applyBorder="1"/>
    <xf numFmtId="0" fontId="2" fillId="12" borderId="8" xfId="0" applyFont="1" applyFill="1" applyBorder="1"/>
    <xf numFmtId="9" fontId="3" fillId="0" borderId="7" xfId="0" applyNumberFormat="1" applyFont="1" applyBorder="1" applyAlignment="1">
      <alignment horizontal="center"/>
    </xf>
    <xf numFmtId="0" fontId="4" fillId="0" borderId="6" xfId="0" applyFont="1" applyFill="1" applyBorder="1"/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11" fillId="0" borderId="10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6" borderId="9" xfId="0" applyFont="1" applyFill="1" applyBorder="1" applyAlignment="1">
      <alignment horizontal="left"/>
    </xf>
    <xf numFmtId="0" fontId="2" fillId="3" borderId="9" xfId="0" applyFont="1" applyFill="1" applyBorder="1" applyAlignment="1"/>
    <xf numFmtId="0" fontId="2" fillId="0" borderId="9" xfId="0" applyFont="1" applyFill="1" applyBorder="1" applyAlignment="1">
      <alignment horizontal="left" indent="1"/>
    </xf>
    <xf numFmtId="0" fontId="5" fillId="2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6" borderId="10" xfId="0" applyFont="1" applyFill="1" applyBorder="1" applyAlignment="1"/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6" borderId="24" xfId="0" applyFont="1" applyFill="1" applyBorder="1" applyAlignment="1"/>
    <xf numFmtId="0" fontId="2" fillId="0" borderId="14" xfId="0" quotePrefix="1" applyFont="1" applyFill="1" applyBorder="1" applyAlignment="1"/>
    <xf numFmtId="0" fontId="2" fillId="0" borderId="16" xfId="0" applyFont="1" applyFill="1" applyBorder="1" applyAlignment="1"/>
    <xf numFmtId="0" fontId="2" fillId="0" borderId="15" xfId="0" applyFont="1" applyFill="1" applyBorder="1" applyAlignment="1"/>
    <xf numFmtId="0" fontId="2" fillId="0" borderId="1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2" borderId="22" xfId="0" applyFont="1" applyFill="1" applyBorder="1" applyAlignment="1"/>
    <xf numFmtId="0" fontId="2" fillId="0" borderId="16" xfId="0" quotePrefix="1" applyFont="1" applyFill="1" applyBorder="1" applyAlignment="1"/>
    <xf numFmtId="0" fontId="2" fillId="0" borderId="1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/>
    </xf>
    <xf numFmtId="0" fontId="2" fillId="0" borderId="26" xfId="0" applyFont="1" applyFill="1" applyBorder="1" applyAlignment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0" fontId="2" fillId="2" borderId="24" xfId="0" applyFont="1" applyFill="1" applyBorder="1" applyAlignment="1"/>
    <xf numFmtId="0" fontId="2" fillId="2" borderId="25" xfId="0" applyFont="1" applyFill="1" applyBorder="1" applyAlignment="1"/>
    <xf numFmtId="0" fontId="2" fillId="6" borderId="24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3" borderId="24" xfId="0" applyFont="1" applyFill="1" applyBorder="1" applyAlignment="1"/>
    <xf numFmtId="0" fontId="2" fillId="3" borderId="25" xfId="0" applyFont="1" applyFill="1" applyBorder="1" applyAlignment="1"/>
    <xf numFmtId="0" fontId="2" fillId="6" borderId="25" xfId="0" applyFont="1" applyFill="1" applyBorder="1" applyAlignment="1">
      <alignment horizontal="left"/>
    </xf>
    <xf numFmtId="0" fontId="12" fillId="0" borderId="24" xfId="0" applyFont="1" applyFill="1" applyBorder="1" applyAlignment="1">
      <alignment horizontal="right"/>
    </xf>
    <xf numFmtId="0" fontId="12" fillId="0" borderId="25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left" indent="1"/>
    </xf>
    <xf numFmtId="0" fontId="2" fillId="0" borderId="25" xfId="0" applyFont="1" applyFill="1" applyBorder="1" applyAlignment="1">
      <alignment horizontal="left" indent="1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" fillId="2" borderId="23" xfId="0" applyFont="1" applyFill="1" applyBorder="1" applyAlignment="1"/>
    <xf numFmtId="0" fontId="2" fillId="6" borderId="25" xfId="0" applyFont="1" applyFill="1" applyBorder="1" applyAlignment="1"/>
    <xf numFmtId="0" fontId="2" fillId="6" borderId="26" xfId="0" applyFont="1" applyFill="1" applyBorder="1" applyAlignment="1"/>
    <xf numFmtId="0" fontId="12" fillId="0" borderId="17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right"/>
    </xf>
    <xf numFmtId="0" fontId="12" fillId="0" borderId="20" xfId="0" applyFont="1" applyFill="1" applyBorder="1" applyAlignment="1">
      <alignment horizontal="right"/>
    </xf>
    <xf numFmtId="0" fontId="13" fillId="0" borderId="0" xfId="0" applyFont="1"/>
    <xf numFmtId="0" fontId="13" fillId="0" borderId="0" xfId="0" applyFont="1" applyBorder="1" applyAlignment="1">
      <alignment horizontal="righ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Border="1"/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34" xfId="0" applyFont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2" fillId="4" borderId="27" xfId="0" applyNumberFormat="1" applyFont="1" applyFill="1" applyBorder="1" applyAlignment="1">
      <alignment horizontal="center"/>
    </xf>
    <xf numFmtId="165" fontId="2" fillId="4" borderId="35" xfId="0" applyNumberFormat="1" applyFont="1" applyFill="1" applyBorder="1" applyAlignment="1">
      <alignment horizontal="center"/>
    </xf>
    <xf numFmtId="165" fontId="2" fillId="4" borderId="28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9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2" fillId="2" borderId="9" xfId="0" applyFont="1" applyFill="1" applyBorder="1"/>
    <xf numFmtId="0" fontId="5" fillId="0" borderId="6" xfId="0" applyFont="1" applyFill="1" applyBorder="1"/>
    <xf numFmtId="165" fontId="13" fillId="0" borderId="10" xfId="0" applyNumberFormat="1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right"/>
    </xf>
    <xf numFmtId="165" fontId="11" fillId="0" borderId="5" xfId="0" applyNumberFormat="1" applyFont="1" applyFill="1" applyBorder="1" applyAlignment="1"/>
    <xf numFmtId="165" fontId="12" fillId="0" borderId="5" xfId="0" applyNumberFormat="1" applyFont="1" applyFill="1" applyBorder="1" applyAlignment="1">
      <alignment horizontal="center"/>
    </xf>
    <xf numFmtId="9" fontId="12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9" fontId="11" fillId="0" borderId="12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top"/>
    </xf>
    <xf numFmtId="0" fontId="11" fillId="0" borderId="13" xfId="0" applyFont="1" applyBorder="1"/>
    <xf numFmtId="9" fontId="12" fillId="0" borderId="10" xfId="0" applyNumberFormat="1" applyFont="1" applyFill="1" applyBorder="1" applyAlignment="1">
      <alignment horizontal="center"/>
    </xf>
    <xf numFmtId="0" fontId="11" fillId="0" borderId="11" xfId="0" applyFont="1" applyBorder="1"/>
    <xf numFmtId="0" fontId="11" fillId="13" borderId="9" xfId="0" applyFont="1" applyFill="1" applyBorder="1" applyAlignment="1">
      <alignment horizontal="left"/>
    </xf>
    <xf numFmtId="165" fontId="11" fillId="13" borderId="9" xfId="0" applyNumberFormat="1" applyFont="1" applyFill="1" applyBorder="1" applyAlignment="1"/>
    <xf numFmtId="165" fontId="12" fillId="13" borderId="9" xfId="0" applyNumberFormat="1" applyFont="1" applyFill="1" applyBorder="1" applyAlignment="1">
      <alignment horizontal="center"/>
    </xf>
    <xf numFmtId="9" fontId="12" fillId="13" borderId="10" xfId="0" applyNumberFormat="1" applyFont="1" applyFill="1" applyBorder="1" applyAlignment="1">
      <alignment horizontal="center"/>
    </xf>
    <xf numFmtId="165" fontId="12" fillId="13" borderId="10" xfId="0" applyNumberFormat="1" applyFont="1" applyFill="1" applyBorder="1" applyAlignment="1">
      <alignment horizontal="center"/>
    </xf>
    <xf numFmtId="9" fontId="11" fillId="13" borderId="10" xfId="0" applyNumberFormat="1" applyFont="1" applyFill="1" applyBorder="1" applyAlignment="1">
      <alignment horizontal="center"/>
    </xf>
    <xf numFmtId="0" fontId="11" fillId="13" borderId="9" xfId="0" applyFont="1" applyFill="1" applyBorder="1" applyAlignment="1">
      <alignment horizontal="left" vertical="top"/>
    </xf>
    <xf numFmtId="0" fontId="11" fillId="13" borderId="11" xfId="0" applyFont="1" applyFill="1" applyBorder="1"/>
    <xf numFmtId="0" fontId="5" fillId="13" borderId="9" xfId="0" applyFont="1" applyFill="1" applyBorder="1" applyAlignment="1">
      <alignment horizontal="left"/>
    </xf>
    <xf numFmtId="0" fontId="2" fillId="0" borderId="6" xfId="0" applyFont="1" applyFill="1" applyBorder="1"/>
    <xf numFmtId="0" fontId="2" fillId="14" borderId="6" xfId="0" applyFont="1" applyFill="1" applyBorder="1" applyAlignment="1">
      <alignment horizontal="left"/>
    </xf>
    <xf numFmtId="0" fontId="2" fillId="14" borderId="6" xfId="0" applyFont="1" applyFill="1" applyBorder="1" applyAlignment="1"/>
    <xf numFmtId="165" fontId="2" fillId="14" borderId="7" xfId="0" applyNumberFormat="1" applyFont="1" applyFill="1" applyBorder="1" applyAlignment="1">
      <alignment horizontal="center"/>
    </xf>
    <xf numFmtId="165" fontId="2" fillId="14" borderId="6" xfId="0" applyNumberFormat="1" applyFont="1" applyFill="1" applyBorder="1" applyAlignment="1">
      <alignment horizontal="center"/>
    </xf>
    <xf numFmtId="9" fontId="2" fillId="14" borderId="6" xfId="0" applyNumberFormat="1" applyFont="1" applyFill="1" applyBorder="1" applyAlignment="1">
      <alignment horizontal="center"/>
    </xf>
    <xf numFmtId="165" fontId="3" fillId="14" borderId="7" xfId="0" applyNumberFormat="1" applyFont="1" applyFill="1" applyBorder="1" applyAlignment="1">
      <alignment horizontal="center"/>
    </xf>
    <xf numFmtId="9" fontId="3" fillId="14" borderId="7" xfId="0" applyNumberFormat="1" applyFont="1" applyFill="1" applyBorder="1" applyAlignment="1">
      <alignment horizontal="center"/>
    </xf>
    <xf numFmtId="165" fontId="5" fillId="14" borderId="7" xfId="0" applyNumberFormat="1" applyFont="1" applyFill="1" applyBorder="1" applyAlignment="1">
      <alignment horizontal="center"/>
    </xf>
    <xf numFmtId="0" fontId="5" fillId="14" borderId="7" xfId="0" applyFont="1" applyFill="1" applyBorder="1" applyAlignment="1">
      <alignment horizontal="left" vertical="top"/>
    </xf>
    <xf numFmtId="0" fontId="5" fillId="14" borderId="6" xfId="0" applyFont="1" applyFill="1" applyBorder="1"/>
    <xf numFmtId="0" fontId="2" fillId="14" borderId="6" xfId="0" applyFont="1" applyFill="1" applyBorder="1"/>
    <xf numFmtId="164" fontId="2" fillId="14" borderId="6" xfId="0" applyNumberFormat="1" applyFont="1" applyFill="1" applyBorder="1" applyAlignment="1">
      <alignment horizontal="left"/>
    </xf>
    <xf numFmtId="0" fontId="5" fillId="14" borderId="0" xfId="0" applyFont="1" applyFill="1"/>
    <xf numFmtId="0" fontId="4" fillId="14" borderId="6" xfId="0" applyFont="1" applyFill="1" applyBorder="1"/>
    <xf numFmtId="9" fontId="2" fillId="14" borderId="7" xfId="0" applyNumberFormat="1" applyFont="1" applyFill="1" applyBorder="1" applyAlignment="1">
      <alignment horizontal="center"/>
    </xf>
    <xf numFmtId="0" fontId="10" fillId="14" borderId="7" xfId="0" applyFont="1" applyFill="1" applyBorder="1" applyAlignment="1">
      <alignment horizontal="left" vertical="top"/>
    </xf>
    <xf numFmtId="165" fontId="2" fillId="14" borderId="6" xfId="0" applyNumberFormat="1" applyFont="1" applyFill="1" applyBorder="1" applyAlignment="1"/>
    <xf numFmtId="0" fontId="10" fillId="14" borderId="6" xfId="0" applyFont="1" applyFill="1" applyBorder="1" applyAlignment="1">
      <alignment horizontal="left" vertical="top"/>
    </xf>
    <xf numFmtId="0" fontId="2" fillId="14" borderId="6" xfId="0" applyFont="1" applyFill="1" applyBorder="1" applyAlignment="1">
      <alignment horizontal="left" vertical="top"/>
    </xf>
    <xf numFmtId="0" fontId="2" fillId="14" borderId="8" xfId="0" applyFont="1" applyFill="1" applyBorder="1"/>
    <xf numFmtId="0" fontId="5" fillId="14" borderId="6" xfId="0" applyFont="1" applyFill="1" applyBorder="1" applyAlignment="1">
      <alignment horizontal="left"/>
    </xf>
    <xf numFmtId="165" fontId="5" fillId="14" borderId="6" xfId="0" applyNumberFormat="1" applyFont="1" applyFill="1" applyBorder="1" applyAlignment="1">
      <alignment horizontal="center"/>
    </xf>
    <xf numFmtId="9" fontId="5" fillId="14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4" fillId="0" borderId="0" xfId="0" applyFont="1" applyFill="1" applyBorder="1"/>
    <xf numFmtId="0" fontId="2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5" fontId="11" fillId="2" borderId="5" xfId="0" applyNumberFormat="1" applyFont="1" applyFill="1" applyBorder="1" applyAlignment="1"/>
    <xf numFmtId="165" fontId="12" fillId="2" borderId="5" xfId="0" applyNumberFormat="1" applyFont="1" applyFill="1" applyBorder="1" applyAlignment="1">
      <alignment horizontal="center"/>
    </xf>
    <xf numFmtId="9" fontId="12" fillId="2" borderId="12" xfId="0" applyNumberFormat="1" applyFont="1" applyFill="1" applyBorder="1" applyAlignment="1">
      <alignment horizontal="center"/>
    </xf>
    <xf numFmtId="165" fontId="12" fillId="2" borderId="12" xfId="0" applyNumberFormat="1" applyFont="1" applyFill="1" applyBorder="1" applyAlignment="1">
      <alignment horizontal="center"/>
    </xf>
    <xf numFmtId="9" fontId="11" fillId="2" borderId="12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top"/>
    </xf>
    <xf numFmtId="0" fontId="11" fillId="2" borderId="13" xfId="0" applyFont="1" applyFill="1" applyBorder="1"/>
    <xf numFmtId="0" fontId="2" fillId="2" borderId="9" xfId="0" applyFont="1" applyFill="1" applyBorder="1" applyAlignment="1">
      <alignment horizontal="left"/>
    </xf>
    <xf numFmtId="165" fontId="11" fillId="2" borderId="9" xfId="0" applyNumberFormat="1" applyFont="1" applyFill="1" applyBorder="1" applyAlignment="1"/>
    <xf numFmtId="165" fontId="5" fillId="3" borderId="9" xfId="0" applyNumberFormat="1" applyFont="1" applyFill="1" applyBorder="1" applyAlignment="1">
      <alignment horizontal="center"/>
    </xf>
    <xf numFmtId="9" fontId="5" fillId="3" borderId="10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9" fontId="2" fillId="3" borderId="1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/>
    </xf>
    <xf numFmtId="0" fontId="2" fillId="2" borderId="11" xfId="0" applyFont="1" applyFill="1" applyBorder="1"/>
    <xf numFmtId="1" fontId="2" fillId="13" borderId="6" xfId="0" applyNumberFormat="1" applyFont="1" applyFill="1" applyBorder="1" applyAlignment="1">
      <alignment horizontal="left"/>
    </xf>
    <xf numFmtId="0" fontId="2" fillId="13" borderId="6" xfId="0" applyFont="1" applyFill="1" applyBorder="1" applyAlignment="1"/>
    <xf numFmtId="165" fontId="2" fillId="13" borderId="6" xfId="0" applyNumberFormat="1" applyFont="1" applyFill="1" applyBorder="1" applyAlignment="1"/>
    <xf numFmtId="165" fontId="2" fillId="13" borderId="6" xfId="0" applyNumberFormat="1" applyFont="1" applyFill="1" applyBorder="1" applyAlignment="1">
      <alignment horizontal="center"/>
    </xf>
    <xf numFmtId="9" fontId="2" fillId="13" borderId="7" xfId="0" applyNumberFormat="1" applyFont="1" applyFill="1" applyBorder="1" applyAlignment="1">
      <alignment horizontal="center"/>
    </xf>
    <xf numFmtId="165" fontId="2" fillId="13" borderId="7" xfId="0" applyNumberFormat="1" applyFont="1" applyFill="1" applyBorder="1" applyAlignment="1">
      <alignment horizontal="center"/>
    </xf>
    <xf numFmtId="0" fontId="2" fillId="13" borderId="6" xfId="0" applyFont="1" applyFill="1" applyBorder="1" applyAlignment="1">
      <alignment horizontal="left" vertical="top"/>
    </xf>
    <xf numFmtId="0" fontId="2" fillId="13" borderId="8" xfId="0" applyFont="1" applyFill="1" applyBorder="1"/>
    <xf numFmtId="0" fontId="5" fillId="0" borderId="0" xfId="0" applyFont="1" applyFill="1"/>
    <xf numFmtId="0" fontId="11" fillId="13" borderId="5" xfId="0" applyFont="1" applyFill="1" applyBorder="1" applyAlignment="1">
      <alignment horizontal="left"/>
    </xf>
    <xf numFmtId="0" fontId="5" fillId="13" borderId="5" xfId="0" applyFont="1" applyFill="1" applyBorder="1" applyAlignment="1">
      <alignment horizontal="left"/>
    </xf>
    <xf numFmtId="165" fontId="11" fillId="13" borderId="5" xfId="0" applyNumberFormat="1" applyFont="1" applyFill="1" applyBorder="1" applyAlignment="1"/>
    <xf numFmtId="165" fontId="12" fillId="13" borderId="5" xfId="0" applyNumberFormat="1" applyFont="1" applyFill="1" applyBorder="1" applyAlignment="1">
      <alignment horizontal="center"/>
    </xf>
    <xf numFmtId="9" fontId="12" fillId="13" borderId="12" xfId="0" applyNumberFormat="1" applyFont="1" applyFill="1" applyBorder="1" applyAlignment="1">
      <alignment horizontal="center"/>
    </xf>
    <xf numFmtId="165" fontId="12" fillId="13" borderId="12" xfId="0" applyNumberFormat="1" applyFont="1" applyFill="1" applyBorder="1" applyAlignment="1">
      <alignment horizontal="center"/>
    </xf>
    <xf numFmtId="9" fontId="11" fillId="13" borderId="12" xfId="0" applyNumberFormat="1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 vertical="top"/>
    </xf>
    <xf numFmtId="0" fontId="11" fillId="13" borderId="13" xfId="0" applyFont="1" applyFill="1" applyBorder="1"/>
    <xf numFmtId="0" fontId="12" fillId="0" borderId="38" xfId="0" applyFont="1" applyFill="1" applyBorder="1" applyAlignment="1">
      <alignment horizontal="right"/>
    </xf>
    <xf numFmtId="165" fontId="12" fillId="0" borderId="38" xfId="0" applyNumberFormat="1" applyFont="1" applyFill="1" applyBorder="1" applyAlignment="1">
      <alignment horizontal="center"/>
    </xf>
    <xf numFmtId="9" fontId="11" fillId="0" borderId="38" xfId="0" applyNumberFormat="1" applyFont="1" applyFill="1" applyBorder="1" applyAlignment="1">
      <alignment horizontal="center"/>
    </xf>
    <xf numFmtId="9" fontId="12" fillId="0" borderId="5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5" xfId="0" applyFont="1" applyBorder="1"/>
    <xf numFmtId="0" fontId="12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13" borderId="39" xfId="0" applyFont="1" applyFill="1" applyBorder="1" applyAlignment="1">
      <alignment horizontal="left"/>
    </xf>
    <xf numFmtId="165" fontId="12" fillId="13" borderId="39" xfId="0" applyNumberFormat="1" applyFont="1" applyFill="1" applyBorder="1" applyAlignment="1">
      <alignment horizontal="center"/>
    </xf>
    <xf numFmtId="9" fontId="12" fillId="13" borderId="9" xfId="0" applyNumberFormat="1" applyFont="1" applyFill="1" applyBorder="1" applyAlignment="1">
      <alignment horizontal="center"/>
    </xf>
    <xf numFmtId="9" fontId="11" fillId="13" borderId="39" xfId="0" applyNumberFormat="1" applyFont="1" applyFill="1" applyBorder="1" applyAlignment="1">
      <alignment horizontal="center"/>
    </xf>
    <xf numFmtId="0" fontId="11" fillId="13" borderId="9" xfId="0" applyFont="1" applyFill="1" applyBorder="1"/>
    <xf numFmtId="0" fontId="2" fillId="13" borderId="9" xfId="0" applyFont="1" applyFill="1" applyBorder="1" applyAlignment="1">
      <alignment horizontal="left"/>
    </xf>
    <xf numFmtId="0" fontId="5" fillId="0" borderId="6" xfId="0" applyFont="1" applyBorder="1"/>
    <xf numFmtId="165" fontId="5" fillId="14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9" fontId="5" fillId="0" borderId="6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5" fillId="14" borderId="0" xfId="0" applyFont="1" applyFill="1" applyBorder="1" applyAlignment="1">
      <alignment horizontal="left"/>
    </xf>
    <xf numFmtId="165" fontId="5" fillId="14" borderId="0" xfId="0" applyNumberFormat="1" applyFont="1" applyFill="1" applyBorder="1" applyAlignment="1">
      <alignment horizontal="center"/>
    </xf>
    <xf numFmtId="9" fontId="5" fillId="14" borderId="6" xfId="0" applyNumberFormat="1" applyFont="1" applyFill="1" applyBorder="1" applyAlignment="1">
      <alignment horizontal="center"/>
    </xf>
    <xf numFmtId="9" fontId="2" fillId="14" borderId="0" xfId="0" applyNumberFormat="1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 vertical="top"/>
    </xf>
    <xf numFmtId="165" fontId="12" fillId="4" borderId="12" xfId="0" applyNumberFormat="1" applyFont="1" applyFill="1" applyBorder="1" applyAlignment="1">
      <alignment horizontal="center"/>
    </xf>
    <xf numFmtId="9" fontId="12" fillId="4" borderId="12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/>
    </xf>
    <xf numFmtId="0" fontId="5" fillId="14" borderId="38" xfId="0" applyFont="1" applyFill="1" applyBorder="1" applyAlignment="1">
      <alignment horizontal="left"/>
    </xf>
    <xf numFmtId="165" fontId="2" fillId="14" borderId="5" xfId="0" applyNumberFormat="1" applyFont="1" applyFill="1" applyBorder="1" applyAlignment="1">
      <alignment horizontal="center"/>
    </xf>
    <xf numFmtId="165" fontId="5" fillId="14" borderId="38" xfId="0" applyNumberFormat="1" applyFont="1" applyFill="1" applyBorder="1" applyAlignment="1">
      <alignment horizontal="center"/>
    </xf>
    <xf numFmtId="9" fontId="5" fillId="14" borderId="5" xfId="0" applyNumberFormat="1" applyFont="1" applyFill="1" applyBorder="1" applyAlignment="1">
      <alignment horizontal="center"/>
    </xf>
    <xf numFmtId="165" fontId="5" fillId="14" borderId="5" xfId="0" applyNumberFormat="1" applyFont="1" applyFill="1" applyBorder="1" applyAlignment="1">
      <alignment horizontal="center"/>
    </xf>
    <xf numFmtId="9" fontId="2" fillId="14" borderId="38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 vertical="top"/>
    </xf>
    <xf numFmtId="0" fontId="11" fillId="14" borderId="5" xfId="0" applyFont="1" applyFill="1" applyBorder="1"/>
    <xf numFmtId="165" fontId="2" fillId="14" borderId="5" xfId="0" applyNumberFormat="1" applyFont="1" applyFill="1" applyBorder="1" applyAlignment="1"/>
    <xf numFmtId="0" fontId="2" fillId="14" borderId="5" xfId="0" applyFont="1" applyFill="1" applyBorder="1" applyAlignment="1">
      <alignment horizontal="left" vertical="top"/>
    </xf>
    <xf numFmtId="0" fontId="2" fillId="14" borderId="5" xfId="0" applyFont="1" applyFill="1" applyBorder="1"/>
    <xf numFmtId="0" fontId="11" fillId="14" borderId="6" xfId="0" applyFont="1" applyFill="1" applyBorder="1"/>
    <xf numFmtId="0" fontId="2" fillId="14" borderId="6" xfId="0" applyFont="1" applyFill="1" applyBorder="1" applyAlignment="1">
      <alignment horizontal="left" indent="1"/>
    </xf>
    <xf numFmtId="166" fontId="3" fillId="14" borderId="7" xfId="0" applyNumberFormat="1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justify"/>
    </xf>
    <xf numFmtId="0" fontId="2" fillId="14" borderId="5" xfId="0" applyFont="1" applyFill="1" applyBorder="1" applyAlignment="1">
      <alignment horizontal="center" vertical="justify"/>
    </xf>
    <xf numFmtId="0" fontId="2" fillId="14" borderId="10" xfId="0" applyFont="1" applyFill="1" applyBorder="1" applyAlignment="1">
      <alignment horizontal="center"/>
    </xf>
    <xf numFmtId="165" fontId="11" fillId="14" borderId="10" xfId="0" applyNumberFormat="1" applyFont="1" applyFill="1" applyBorder="1" applyAlignment="1">
      <alignment horizontal="center"/>
    </xf>
    <xf numFmtId="165" fontId="11" fillId="14" borderId="9" xfId="0" applyNumberFormat="1" applyFont="1" applyFill="1" applyBorder="1" applyAlignment="1">
      <alignment horizontal="center"/>
    </xf>
    <xf numFmtId="165" fontId="13" fillId="14" borderId="9" xfId="0" applyNumberFormat="1" applyFont="1" applyFill="1" applyBorder="1" applyAlignment="1">
      <alignment horizontal="center"/>
    </xf>
    <xf numFmtId="165" fontId="12" fillId="14" borderId="9" xfId="0" applyNumberFormat="1" applyFont="1" applyFill="1" applyBorder="1" applyAlignment="1">
      <alignment horizontal="center"/>
    </xf>
    <xf numFmtId="165" fontId="12" fillId="14" borderId="5" xfId="0" applyNumberFormat="1" applyFont="1" applyFill="1" applyBorder="1" applyAlignment="1">
      <alignment horizontal="center"/>
    </xf>
    <xf numFmtId="165" fontId="12" fillId="14" borderId="39" xfId="0" applyNumberFormat="1" applyFont="1" applyFill="1" applyBorder="1" applyAlignment="1">
      <alignment horizontal="center"/>
    </xf>
    <xf numFmtId="165" fontId="12" fillId="14" borderId="38" xfId="0" applyNumberFormat="1" applyFont="1" applyFill="1" applyBorder="1" applyAlignment="1">
      <alignment horizontal="center"/>
    </xf>
    <xf numFmtId="165" fontId="2" fillId="14" borderId="9" xfId="0" applyNumberFormat="1" applyFont="1" applyFill="1" applyBorder="1" applyAlignment="1">
      <alignment horizontal="center"/>
    </xf>
    <xf numFmtId="165" fontId="12" fillId="14" borderId="1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116"/>
  <sheetViews>
    <sheetView tabSelected="1" topLeftCell="A6085" workbookViewId="0">
      <pane ySplit="1420" topLeftCell="A74" activePane="bottomLeft"/>
      <selection activeCell="G6088" sqref="G6088"/>
      <selection pane="bottomLeft" activeCell="J76" sqref="J76"/>
    </sheetView>
  </sheetViews>
  <sheetFormatPr baseColWidth="10" defaultColWidth="12" defaultRowHeight="14" x14ac:dyDescent="0"/>
  <cols>
    <col min="1" max="1" width="6.83203125" style="3" customWidth="1"/>
    <col min="2" max="2" width="47.83203125" style="3" customWidth="1"/>
    <col min="3" max="3" width="14.1640625" style="3" customWidth="1"/>
    <col min="4" max="4" width="13.33203125" style="3" customWidth="1"/>
    <col min="5" max="5" width="7.6640625" style="3" customWidth="1"/>
    <col min="6" max="7" width="11.1640625" style="3" customWidth="1"/>
    <col min="8" max="8" width="6.1640625" style="3" customWidth="1"/>
    <col min="9" max="9" width="11.33203125" style="3" customWidth="1"/>
    <col min="10" max="10" width="13.33203125" style="14" customWidth="1"/>
    <col min="11" max="12" width="11.33203125" style="3" customWidth="1"/>
    <col min="13" max="13" width="11.5" style="3" customWidth="1"/>
    <col min="14" max="14" width="22.83203125" style="3" customWidth="1"/>
    <col min="15" max="15" width="12" style="2"/>
    <col min="16" max="16" width="12.1640625" style="2" customWidth="1"/>
    <col min="17" max="23" width="12" style="2"/>
    <col min="24" max="16384" width="12" style="3"/>
  </cols>
  <sheetData>
    <row r="1" spans="1:23" ht="16">
      <c r="A1" s="1"/>
      <c r="B1" s="83" t="s">
        <v>135</v>
      </c>
      <c r="C1" s="24"/>
      <c r="D1" s="1"/>
      <c r="E1" s="1"/>
      <c r="F1" s="1"/>
      <c r="G1" s="1"/>
      <c r="H1" s="1"/>
      <c r="I1" s="1"/>
      <c r="J1" s="1"/>
      <c r="K1" s="1"/>
      <c r="L1" s="1"/>
      <c r="M1" s="27"/>
      <c r="N1" s="28" t="s">
        <v>249</v>
      </c>
    </row>
    <row r="2" spans="1:23" ht="14" customHeight="1">
      <c r="A2" s="4"/>
      <c r="B2" s="4"/>
      <c r="C2" s="4"/>
      <c r="D2" s="4"/>
      <c r="E2" s="4"/>
      <c r="F2" s="4"/>
      <c r="G2" s="4" t="s">
        <v>176</v>
      </c>
      <c r="H2" s="4"/>
      <c r="I2" s="204" t="s">
        <v>176</v>
      </c>
      <c r="J2" s="330" t="s">
        <v>49</v>
      </c>
      <c r="K2" s="96" t="s">
        <v>49</v>
      </c>
      <c r="L2" s="96" t="s">
        <v>51</v>
      </c>
      <c r="M2" s="4"/>
      <c r="N2" s="5"/>
    </row>
    <row r="3" spans="1:23">
      <c r="A3" s="6"/>
      <c r="B3" s="7" t="s">
        <v>169</v>
      </c>
      <c r="C3" s="8" t="s">
        <v>151</v>
      </c>
      <c r="D3" s="7" t="s">
        <v>166</v>
      </c>
      <c r="E3" s="342" t="s">
        <v>164</v>
      </c>
      <c r="F3" s="343"/>
      <c r="G3" s="194" t="s">
        <v>178</v>
      </c>
      <c r="H3" s="344" t="s">
        <v>165</v>
      </c>
      <c r="I3" s="345"/>
      <c r="J3" s="331" t="s">
        <v>173</v>
      </c>
      <c r="K3" s="97" t="s">
        <v>50</v>
      </c>
      <c r="L3" s="97" t="s">
        <v>52</v>
      </c>
      <c r="M3" s="82" t="s">
        <v>170</v>
      </c>
      <c r="N3" s="25" t="s">
        <v>171</v>
      </c>
    </row>
    <row r="4" spans="1:23">
      <c r="A4" s="195">
        <v>1</v>
      </c>
      <c r="B4" s="114" t="s">
        <v>175</v>
      </c>
      <c r="C4" s="114"/>
      <c r="D4" s="196"/>
      <c r="E4" s="197"/>
      <c r="F4" s="198"/>
      <c r="G4" s="198"/>
      <c r="H4" s="197"/>
      <c r="I4" s="198"/>
      <c r="J4" s="332"/>
      <c r="K4" s="198"/>
      <c r="L4" s="198"/>
      <c r="M4" s="199"/>
      <c r="N4" s="200"/>
    </row>
    <row r="5" spans="1:23" s="14" customFormat="1">
      <c r="A5" s="227">
        <v>1.1000000000000001</v>
      </c>
      <c r="B5" s="228" t="s">
        <v>243</v>
      </c>
      <c r="C5" s="229"/>
      <c r="D5" s="230"/>
      <c r="E5" s="231"/>
      <c r="F5" s="232"/>
      <c r="G5" s="232"/>
      <c r="H5" s="233"/>
      <c r="I5" s="232"/>
      <c r="J5" s="234"/>
      <c r="K5" s="232"/>
      <c r="L5" s="232"/>
      <c r="M5" s="235"/>
      <c r="N5" s="236"/>
      <c r="O5" s="13"/>
      <c r="P5" s="13"/>
      <c r="Q5" s="13"/>
      <c r="R5" s="13"/>
      <c r="S5" s="13"/>
      <c r="T5" s="13"/>
      <c r="U5" s="13"/>
      <c r="V5" s="13"/>
      <c r="W5" s="13"/>
    </row>
    <row r="6" spans="1:23" s="14" customFormat="1">
      <c r="A6" s="10" t="s">
        <v>244</v>
      </c>
      <c r="B6" s="9" t="s">
        <v>214</v>
      </c>
      <c r="C6" s="49"/>
      <c r="D6" s="50">
        <v>300</v>
      </c>
      <c r="E6" s="71">
        <v>0.26</v>
      </c>
      <c r="F6" s="47">
        <f>E6*D6</f>
        <v>78</v>
      </c>
      <c r="G6" s="47">
        <f>D6+F6</f>
        <v>378</v>
      </c>
      <c r="H6" s="72">
        <v>0.3</v>
      </c>
      <c r="I6" s="47">
        <f>G6*H6</f>
        <v>113.39999999999999</v>
      </c>
      <c r="J6" s="234"/>
      <c r="K6" s="47">
        <f>G6+I6</f>
        <v>491.4</v>
      </c>
      <c r="L6" s="47"/>
      <c r="M6" s="98"/>
      <c r="N6" s="201" t="s">
        <v>216</v>
      </c>
      <c r="O6" s="13"/>
      <c r="P6" s="13"/>
      <c r="Q6" s="13"/>
      <c r="R6" s="13"/>
      <c r="S6" s="13"/>
      <c r="T6" s="13"/>
      <c r="U6" s="13"/>
      <c r="V6" s="13"/>
      <c r="W6" s="13"/>
    </row>
    <row r="7" spans="1:23" s="14" customFormat="1">
      <c r="A7" s="227">
        <v>1.3</v>
      </c>
      <c r="B7" s="228" t="s">
        <v>204</v>
      </c>
      <c r="C7" s="229"/>
      <c r="D7" s="230"/>
      <c r="E7" s="231"/>
      <c r="F7" s="232"/>
      <c r="G7" s="232"/>
      <c r="H7" s="233"/>
      <c r="I7" s="232"/>
      <c r="J7" s="234"/>
      <c r="K7" s="232"/>
      <c r="L7" s="232"/>
      <c r="M7" s="235"/>
      <c r="N7" s="236"/>
      <c r="O7" s="13"/>
      <c r="P7" s="13"/>
      <c r="Q7" s="13"/>
      <c r="R7" s="13"/>
      <c r="S7" s="13"/>
      <c r="T7" s="13"/>
      <c r="U7" s="13"/>
      <c r="V7" s="13"/>
      <c r="W7" s="13"/>
    </row>
    <row r="8" spans="1:23" s="14" customFormat="1">
      <c r="A8" s="227" t="s">
        <v>205</v>
      </c>
      <c r="B8" s="228" t="s">
        <v>240</v>
      </c>
      <c r="C8" s="229"/>
      <c r="D8" s="230">
        <v>0</v>
      </c>
      <c r="E8" s="231">
        <v>0</v>
      </c>
      <c r="F8" s="232">
        <v>0</v>
      </c>
      <c r="G8" s="232">
        <v>0</v>
      </c>
      <c r="H8" s="233">
        <v>0</v>
      </c>
      <c r="I8" s="232">
        <v>0</v>
      </c>
      <c r="J8" s="234"/>
      <c r="K8" s="232"/>
      <c r="L8" s="232"/>
      <c r="M8" s="235"/>
      <c r="N8" s="236"/>
      <c r="O8" s="13"/>
      <c r="P8" s="13"/>
      <c r="Q8" s="13"/>
      <c r="R8" s="13"/>
      <c r="S8" s="13"/>
      <c r="T8" s="13"/>
      <c r="U8" s="13"/>
      <c r="V8" s="13"/>
      <c r="W8" s="13"/>
    </row>
    <row r="9" spans="1:23" s="14" customFormat="1">
      <c r="A9" s="10" t="s">
        <v>206</v>
      </c>
      <c r="B9" s="9" t="s">
        <v>210</v>
      </c>
      <c r="C9" s="49"/>
      <c r="D9" s="50">
        <v>0</v>
      </c>
      <c r="E9" s="71"/>
      <c r="F9" s="47"/>
      <c r="G9" s="47"/>
      <c r="H9" s="72"/>
      <c r="I9" s="47"/>
      <c r="J9" s="234"/>
      <c r="K9" s="47"/>
      <c r="L9" s="47"/>
      <c r="M9" s="98"/>
      <c r="N9" s="201" t="s">
        <v>216</v>
      </c>
      <c r="O9" s="13"/>
      <c r="P9" s="13"/>
      <c r="Q9" s="13"/>
      <c r="R9" s="13"/>
      <c r="S9" s="13"/>
      <c r="T9" s="13"/>
      <c r="U9" s="13"/>
      <c r="V9" s="13"/>
      <c r="W9" s="13"/>
    </row>
    <row r="10" spans="1:23" s="14" customFormat="1">
      <c r="A10" s="10" t="s">
        <v>211</v>
      </c>
      <c r="B10" s="9" t="s">
        <v>207</v>
      </c>
      <c r="C10" s="49"/>
      <c r="D10" s="50"/>
      <c r="E10" s="71"/>
      <c r="F10" s="47"/>
      <c r="G10" s="47"/>
      <c r="H10" s="72"/>
      <c r="I10" s="47"/>
      <c r="J10" s="234"/>
      <c r="K10" s="47"/>
      <c r="L10" s="47"/>
      <c r="M10" s="98"/>
      <c r="N10" s="201" t="s">
        <v>216</v>
      </c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4" customFormat="1">
      <c r="A11" s="10">
        <v>1.4</v>
      </c>
      <c r="B11" s="9" t="s">
        <v>177</v>
      </c>
      <c r="C11" s="49"/>
      <c r="D11" s="50"/>
      <c r="E11" s="71"/>
      <c r="F11" s="47"/>
      <c r="G11" s="47"/>
      <c r="H11" s="72"/>
      <c r="I11" s="47"/>
      <c r="J11" s="234"/>
      <c r="K11" s="47"/>
      <c r="L11" s="47"/>
      <c r="M11" s="98"/>
      <c r="N11" s="226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14" customFormat="1">
      <c r="A12" s="10" t="s">
        <v>208</v>
      </c>
      <c r="B12" s="9" t="s">
        <v>209</v>
      </c>
      <c r="C12" s="49"/>
      <c r="D12" s="50">
        <v>0</v>
      </c>
      <c r="E12" s="71">
        <v>0</v>
      </c>
      <c r="F12" s="47">
        <v>0</v>
      </c>
      <c r="G12" s="47">
        <v>0</v>
      </c>
      <c r="H12" s="72">
        <v>0</v>
      </c>
      <c r="I12" s="47">
        <v>0</v>
      </c>
      <c r="J12" s="234"/>
      <c r="K12" s="47"/>
      <c r="L12" s="47"/>
      <c r="M12" s="98"/>
      <c r="N12" s="226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4" customFormat="1">
      <c r="A13" s="10" t="s">
        <v>213</v>
      </c>
      <c r="B13" s="9" t="s">
        <v>212</v>
      </c>
      <c r="C13" s="49"/>
      <c r="D13" s="50">
        <v>1000</v>
      </c>
      <c r="E13" s="71">
        <v>0.26</v>
      </c>
      <c r="F13" s="47">
        <f>D13*E13</f>
        <v>260</v>
      </c>
      <c r="G13" s="47">
        <f>D13+F13</f>
        <v>1260</v>
      </c>
      <c r="H13" s="72">
        <v>0.3</v>
      </c>
      <c r="I13" s="47">
        <f>G13*H13</f>
        <v>378</v>
      </c>
      <c r="J13" s="234"/>
      <c r="K13" s="47">
        <f>G13+I13</f>
        <v>1638</v>
      </c>
      <c r="L13" s="47"/>
      <c r="M13" s="98"/>
      <c r="N13" s="226" t="s">
        <v>216</v>
      </c>
      <c r="O13" s="13"/>
      <c r="P13" s="13"/>
      <c r="Q13" s="13"/>
      <c r="R13" s="13"/>
      <c r="S13" s="13"/>
      <c r="T13" s="13"/>
      <c r="U13" s="13"/>
      <c r="V13" s="13"/>
      <c r="W13" s="13"/>
    </row>
    <row r="14" spans="1:23" s="14" customFormat="1">
      <c r="A14" s="227">
        <v>1.5</v>
      </c>
      <c r="B14" s="228" t="s">
        <v>180</v>
      </c>
      <c r="C14" s="229"/>
      <c r="D14" s="230">
        <v>880</v>
      </c>
      <c r="E14" s="231">
        <v>0.4</v>
      </c>
      <c r="F14" s="232">
        <f>D14*E14</f>
        <v>352</v>
      </c>
      <c r="G14" s="232">
        <f>D14+F14</f>
        <v>1232</v>
      </c>
      <c r="H14" s="233">
        <v>0.3</v>
      </c>
      <c r="I14" s="232">
        <f>H14*(D14+F14)</f>
        <v>369.59999999999997</v>
      </c>
      <c r="J14" s="234">
        <f>D14+F14+I14</f>
        <v>1601.6</v>
      </c>
      <c r="K14" s="232"/>
      <c r="L14" s="232"/>
      <c r="M14" s="235"/>
      <c r="N14" s="236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36"/>
      <c r="B15" s="35" t="s">
        <v>245</v>
      </c>
      <c r="C15" s="52"/>
      <c r="D15" s="53">
        <f>SUM(D5:D14)</f>
        <v>2180</v>
      </c>
      <c r="E15" s="73">
        <f>F15/D15</f>
        <v>0.3165137614678899</v>
      </c>
      <c r="F15" s="54">
        <f>SUM(F5:F14)</f>
        <v>690</v>
      </c>
      <c r="G15" s="55">
        <f>SUM(G5:G14)</f>
        <v>2870</v>
      </c>
      <c r="H15" s="79">
        <f>I15/(D15+F15)</f>
        <v>0.3</v>
      </c>
      <c r="I15" s="55">
        <f>SUM(I5:I14)</f>
        <v>861</v>
      </c>
      <c r="J15" s="333">
        <f>SUM(J5:J14)</f>
        <v>1601.6</v>
      </c>
      <c r="K15" s="55">
        <f>SUM(K5:K14)</f>
        <v>2129.4</v>
      </c>
      <c r="L15" s="55">
        <f>SUM(L5:L14)</f>
        <v>0</v>
      </c>
      <c r="M15" s="37"/>
      <c r="N15" s="38"/>
      <c r="O15" s="11"/>
      <c r="P15" s="11"/>
      <c r="Q15" s="11"/>
      <c r="R15" s="11"/>
      <c r="S15" s="11"/>
    </row>
    <row r="16" spans="1:23">
      <c r="A16" s="46">
        <v>2</v>
      </c>
      <c r="B16" s="17" t="s">
        <v>248</v>
      </c>
      <c r="C16" s="63"/>
      <c r="D16" s="64"/>
      <c r="E16" s="77"/>
      <c r="F16" s="65"/>
      <c r="G16" s="65"/>
      <c r="H16" s="77"/>
      <c r="I16" s="65"/>
      <c r="J16" s="229"/>
      <c r="K16" s="65"/>
      <c r="L16" s="65"/>
      <c r="M16" s="32"/>
      <c r="N16" s="26"/>
    </row>
    <row r="17" spans="1:23">
      <c r="A17" s="80">
        <v>2.1</v>
      </c>
      <c r="B17" s="9" t="s">
        <v>106</v>
      </c>
      <c r="C17" s="59"/>
      <c r="D17" s="50">
        <v>0</v>
      </c>
      <c r="E17" s="70">
        <f>$C$110</f>
        <v>0.26</v>
      </c>
      <c r="F17" s="47">
        <f t="shared" ref="F17:F26" si="0">D17*E17</f>
        <v>0</v>
      </c>
      <c r="G17" s="47"/>
      <c r="H17" s="72">
        <v>0.3</v>
      </c>
      <c r="I17" s="47">
        <f t="shared" ref="I17:I26" si="1">H17*(D17+F17)</f>
        <v>0</v>
      </c>
      <c r="J17" s="234"/>
      <c r="K17" s="47"/>
      <c r="L17" s="47"/>
      <c r="M17" s="34"/>
      <c r="N17" s="100" t="s">
        <v>103</v>
      </c>
    </row>
    <row r="18" spans="1:23">
      <c r="A18" s="80">
        <v>2.2000000000000002</v>
      </c>
      <c r="B18" s="9" t="s">
        <v>107</v>
      </c>
      <c r="C18" s="59"/>
      <c r="D18" s="50">
        <f>5000/1.3</f>
        <v>3846.1538461538462</v>
      </c>
      <c r="E18" s="70">
        <v>0.26</v>
      </c>
      <c r="F18" s="47">
        <f t="shared" si="0"/>
        <v>1000</v>
      </c>
      <c r="G18" s="47"/>
      <c r="H18" s="72">
        <v>0.3</v>
      </c>
      <c r="I18" s="47">
        <f t="shared" si="1"/>
        <v>1453.8461538461536</v>
      </c>
      <c r="J18" s="234"/>
      <c r="K18" s="47">
        <f t="shared" ref="K18:K23" si="2">D18+F18+I18</f>
        <v>6299.9999999999991</v>
      </c>
      <c r="L18" s="47">
        <f>K18</f>
        <v>6299.9999999999991</v>
      </c>
      <c r="M18" s="34" t="s">
        <v>14</v>
      </c>
      <c r="N18" s="101" t="s">
        <v>104</v>
      </c>
    </row>
    <row r="19" spans="1:23">
      <c r="A19" s="80">
        <v>2.2999999999999998</v>
      </c>
      <c r="B19" s="9" t="s">
        <v>217</v>
      </c>
      <c r="C19" s="59"/>
      <c r="D19" s="50">
        <f>20000/1.3</f>
        <v>15384.615384615385</v>
      </c>
      <c r="E19" s="70">
        <v>0.26</v>
      </c>
      <c r="F19" s="47">
        <f t="shared" si="0"/>
        <v>4000</v>
      </c>
      <c r="G19" s="47"/>
      <c r="H19" s="72">
        <v>0.3</v>
      </c>
      <c r="I19" s="47">
        <f t="shared" si="1"/>
        <v>5815.3846153846143</v>
      </c>
      <c r="J19" s="234"/>
      <c r="K19" s="47">
        <f t="shared" si="2"/>
        <v>25199.999999999996</v>
      </c>
      <c r="L19" s="47">
        <f>K19</f>
        <v>25199.999999999996</v>
      </c>
      <c r="M19" s="34" t="s">
        <v>15</v>
      </c>
      <c r="N19" s="101"/>
    </row>
    <row r="20" spans="1:23">
      <c r="A20" s="80">
        <v>2.4</v>
      </c>
      <c r="B20" s="9" t="s">
        <v>218</v>
      </c>
      <c r="C20" s="59"/>
      <c r="D20" s="50">
        <v>3000</v>
      </c>
      <c r="E20" s="71">
        <v>0.26</v>
      </c>
      <c r="F20" s="47">
        <f t="shared" si="0"/>
        <v>780</v>
      </c>
      <c r="G20" s="47"/>
      <c r="H20" s="72">
        <v>0.3</v>
      </c>
      <c r="I20" s="47">
        <f t="shared" si="1"/>
        <v>1134</v>
      </c>
      <c r="J20" s="234"/>
      <c r="K20" s="47">
        <f t="shared" si="2"/>
        <v>4914</v>
      </c>
      <c r="L20" s="47"/>
      <c r="M20" s="34"/>
      <c r="N20" s="104" t="s">
        <v>105</v>
      </c>
    </row>
    <row r="21" spans="1:23">
      <c r="A21" s="80">
        <v>2.5</v>
      </c>
      <c r="B21" s="9" t="s">
        <v>219</v>
      </c>
      <c r="C21" s="59"/>
      <c r="D21" s="50">
        <v>5000</v>
      </c>
      <c r="E21" s="71">
        <v>0.26</v>
      </c>
      <c r="F21" s="47">
        <f t="shared" si="0"/>
        <v>1300</v>
      </c>
      <c r="G21" s="47"/>
      <c r="H21" s="72">
        <v>0.3</v>
      </c>
      <c r="I21" s="47">
        <f t="shared" si="1"/>
        <v>1890</v>
      </c>
      <c r="J21" s="234"/>
      <c r="K21" s="47">
        <f t="shared" si="2"/>
        <v>8190</v>
      </c>
      <c r="L21" s="47"/>
      <c r="M21" s="34"/>
      <c r="N21" s="103" t="s">
        <v>172</v>
      </c>
    </row>
    <row r="22" spans="1:23">
      <c r="A22" s="80">
        <v>2.6</v>
      </c>
      <c r="B22" s="9" t="s">
        <v>220</v>
      </c>
      <c r="C22" s="59"/>
      <c r="D22" s="50">
        <v>10000</v>
      </c>
      <c r="E22" s="71">
        <v>0.26</v>
      </c>
      <c r="F22" s="47">
        <f t="shared" si="0"/>
        <v>2600</v>
      </c>
      <c r="G22" s="47"/>
      <c r="H22" s="72">
        <v>0.3</v>
      </c>
      <c r="I22" s="47">
        <f t="shared" si="1"/>
        <v>3780</v>
      </c>
      <c r="J22" s="234"/>
      <c r="K22" s="47">
        <f t="shared" si="2"/>
        <v>16380</v>
      </c>
      <c r="L22" s="47"/>
      <c r="M22" s="34"/>
      <c r="N22" s="103"/>
    </row>
    <row r="23" spans="1:23">
      <c r="A23" s="80">
        <v>2.7</v>
      </c>
      <c r="B23" s="9" t="s">
        <v>109</v>
      </c>
      <c r="C23" s="59"/>
      <c r="D23" s="50">
        <v>2000</v>
      </c>
      <c r="E23" s="71">
        <v>0.26</v>
      </c>
      <c r="F23" s="47">
        <f t="shared" si="0"/>
        <v>520</v>
      </c>
      <c r="G23" s="47"/>
      <c r="H23" s="72">
        <v>0.3</v>
      </c>
      <c r="I23" s="47">
        <f t="shared" si="1"/>
        <v>756</v>
      </c>
      <c r="J23" s="234"/>
      <c r="K23" s="205">
        <f t="shared" si="2"/>
        <v>3276</v>
      </c>
      <c r="L23" s="47"/>
      <c r="M23" s="34"/>
      <c r="N23" s="105" t="s">
        <v>102</v>
      </c>
    </row>
    <row r="24" spans="1:23">
      <c r="A24" s="80">
        <v>2.71</v>
      </c>
      <c r="B24" s="9" t="s">
        <v>221</v>
      </c>
      <c r="C24" s="59"/>
      <c r="D24" s="50">
        <v>0</v>
      </c>
      <c r="E24" s="71"/>
      <c r="F24" s="47"/>
      <c r="G24" s="47"/>
      <c r="H24" s="72"/>
      <c r="I24" s="47"/>
      <c r="J24" s="234"/>
      <c r="K24" s="205"/>
      <c r="L24" s="47"/>
      <c r="M24" s="34"/>
      <c r="N24" s="105"/>
    </row>
    <row r="25" spans="1:23">
      <c r="A25" s="80" t="s">
        <v>246</v>
      </c>
      <c r="B25" s="9" t="s">
        <v>222</v>
      </c>
      <c r="C25" s="59"/>
      <c r="D25" s="50">
        <v>500</v>
      </c>
      <c r="E25" s="71">
        <v>0.26</v>
      </c>
      <c r="F25" s="47">
        <f>D25*E25</f>
        <v>130</v>
      </c>
      <c r="G25" s="47"/>
      <c r="H25" s="72">
        <v>0.3</v>
      </c>
      <c r="I25" s="47">
        <f>H25*(D25+F25)</f>
        <v>189</v>
      </c>
      <c r="J25" s="234"/>
      <c r="K25" s="205">
        <f>D25+F25+I25</f>
        <v>819</v>
      </c>
      <c r="L25" s="47"/>
      <c r="M25" s="34"/>
      <c r="N25" s="105"/>
    </row>
    <row r="26" spans="1:23" s="14" customFormat="1">
      <c r="A26" s="80">
        <v>2.8</v>
      </c>
      <c r="B26" s="9" t="s">
        <v>60</v>
      </c>
      <c r="C26" s="59"/>
      <c r="D26" s="50">
        <v>0</v>
      </c>
      <c r="E26" s="71">
        <f>$C$108</f>
        <v>0.4</v>
      </c>
      <c r="F26" s="47">
        <f t="shared" si="0"/>
        <v>0</v>
      </c>
      <c r="G26" s="47"/>
      <c r="H26" s="72">
        <v>0.3</v>
      </c>
      <c r="I26" s="47">
        <f t="shared" si="1"/>
        <v>0</v>
      </c>
      <c r="J26" s="234"/>
      <c r="K26" s="47"/>
      <c r="L26" s="47"/>
      <c r="M26" s="34"/>
      <c r="N26" s="226"/>
      <c r="O26" s="13"/>
      <c r="P26" s="13"/>
      <c r="Q26" s="13"/>
      <c r="R26" s="13"/>
      <c r="S26" s="13"/>
      <c r="T26" s="13"/>
      <c r="U26" s="13"/>
      <c r="V26" s="13"/>
      <c r="W26" s="13"/>
    </row>
    <row r="27" spans="1:23">
      <c r="A27" s="36"/>
      <c r="B27" s="41" t="s">
        <v>247</v>
      </c>
      <c r="C27" s="61"/>
      <c r="D27" s="53">
        <f>SUM(D17:D26)</f>
        <v>39730.769230769234</v>
      </c>
      <c r="E27" s="73">
        <f>F27/D27</f>
        <v>0.25999999999999995</v>
      </c>
      <c r="F27" s="54">
        <f>SUM(F17:F26)</f>
        <v>10330</v>
      </c>
      <c r="G27" s="55">
        <v>0</v>
      </c>
      <c r="H27" s="79">
        <f>I27/(D27+F27)</f>
        <v>0.29999999999999993</v>
      </c>
      <c r="I27" s="54">
        <f>SUM(I17:I26)</f>
        <v>15018.230769230768</v>
      </c>
      <c r="J27" s="334">
        <f>SUM(J17:J26)</f>
        <v>0</v>
      </c>
      <c r="K27" s="54">
        <f>SUM(K17:K26)</f>
        <v>65079</v>
      </c>
      <c r="L27" s="54">
        <f>SUM(L17:L26)</f>
        <v>31499.999999999996</v>
      </c>
      <c r="M27" s="42"/>
      <c r="N27" s="40"/>
    </row>
    <row r="28" spans="1:23">
      <c r="A28" s="45">
        <v>3</v>
      </c>
      <c r="B28" s="12" t="s">
        <v>138</v>
      </c>
      <c r="C28" s="56"/>
      <c r="D28" s="57"/>
      <c r="E28" s="74"/>
      <c r="F28" s="58"/>
      <c r="G28" s="58"/>
      <c r="H28" s="74"/>
      <c r="I28" s="58"/>
      <c r="J28" s="229"/>
      <c r="K28" s="58"/>
      <c r="L28" s="58"/>
      <c r="M28" s="31"/>
      <c r="N28" s="26"/>
    </row>
    <row r="29" spans="1:23">
      <c r="A29" s="80">
        <v>3.1</v>
      </c>
      <c r="B29" s="278" t="s">
        <v>139</v>
      </c>
      <c r="C29" s="108"/>
      <c r="D29" s="50">
        <v>0</v>
      </c>
      <c r="E29" s="75">
        <f>$C$112</f>
        <v>0.26</v>
      </c>
      <c r="F29" s="47">
        <f>D29*E29</f>
        <v>0</v>
      </c>
      <c r="G29" s="47"/>
      <c r="H29" s="75">
        <v>0.2</v>
      </c>
      <c r="I29" s="47">
        <f>H29*(D29+F29)</f>
        <v>0</v>
      </c>
      <c r="J29" s="234"/>
      <c r="K29" s="47">
        <f>D29+F29+I29</f>
        <v>0</v>
      </c>
      <c r="L29" s="47"/>
      <c r="M29" s="34" t="s">
        <v>48</v>
      </c>
      <c r="N29" s="250" t="s">
        <v>112</v>
      </c>
    </row>
    <row r="30" spans="1:23">
      <c r="A30" s="80">
        <v>3.2</v>
      </c>
      <c r="B30" s="278" t="s">
        <v>157</v>
      </c>
      <c r="C30" s="108"/>
      <c r="D30" s="50">
        <v>10000</v>
      </c>
      <c r="E30" s="75">
        <f>$C$112</f>
        <v>0.26</v>
      </c>
      <c r="F30" s="49">
        <f>$C$107*D30</f>
        <v>2000</v>
      </c>
      <c r="G30" s="49"/>
      <c r="H30" s="75">
        <v>0.3</v>
      </c>
      <c r="I30" s="47">
        <f>H30*(D30+F30)</f>
        <v>3600</v>
      </c>
      <c r="J30" s="234"/>
      <c r="K30" s="47">
        <f>D30+F30+I30</f>
        <v>15600</v>
      </c>
      <c r="L30" s="47"/>
      <c r="M30" s="34" t="s">
        <v>48</v>
      </c>
      <c r="N30" s="250"/>
    </row>
    <row r="31" spans="1:23">
      <c r="A31" s="10">
        <v>3.3</v>
      </c>
      <c r="B31" s="10" t="s">
        <v>141</v>
      </c>
      <c r="C31" s="60"/>
      <c r="D31" s="51">
        <v>5000</v>
      </c>
      <c r="E31" s="75">
        <f>$C$112</f>
        <v>0.26</v>
      </c>
      <c r="F31" s="49">
        <f>$C$107*D31</f>
        <v>1000</v>
      </c>
      <c r="G31" s="49"/>
      <c r="H31" s="75">
        <v>0.3</v>
      </c>
      <c r="I31" s="47">
        <f>H31*(D31+F31)</f>
        <v>1800</v>
      </c>
      <c r="J31" s="234"/>
      <c r="K31" s="47">
        <f>D31+F31+I31</f>
        <v>7800</v>
      </c>
      <c r="L31" s="47"/>
      <c r="M31" s="34" t="s">
        <v>48</v>
      </c>
      <c r="N31" s="250"/>
    </row>
    <row r="32" spans="1:23" s="14" customFormat="1">
      <c r="A32" s="238">
        <v>3.4</v>
      </c>
      <c r="B32" s="239" t="s">
        <v>179</v>
      </c>
      <c r="C32" s="240"/>
      <c r="D32" s="230">
        <v>880</v>
      </c>
      <c r="E32" s="231">
        <v>0.4</v>
      </c>
      <c r="F32" s="229">
        <f>E32*D32</f>
        <v>352</v>
      </c>
      <c r="G32" s="229">
        <f>D32+F32</f>
        <v>1232</v>
      </c>
      <c r="H32" s="241">
        <v>0.3</v>
      </c>
      <c r="I32" s="232">
        <f>H32*(D32+F32)</f>
        <v>369.59999999999997</v>
      </c>
      <c r="J32" s="229">
        <f>D32+F32+I32</f>
        <v>1601.6</v>
      </c>
      <c r="K32" s="232"/>
      <c r="L32" s="232"/>
      <c r="M32" s="242"/>
      <c r="N32" s="236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s="36"/>
      <c r="B33" s="35" t="s">
        <v>142</v>
      </c>
      <c r="C33" s="61"/>
      <c r="D33" s="53">
        <f>SUM(D29:D32)</f>
        <v>15880</v>
      </c>
      <c r="E33" s="73">
        <f>F33/D33</f>
        <v>0.21108312342569269</v>
      </c>
      <c r="F33" s="62">
        <f>SUM(F29:F32)</f>
        <v>3352</v>
      </c>
      <c r="G33" s="202">
        <f>SUM(G32)</f>
        <v>1232</v>
      </c>
      <c r="H33" s="79">
        <f>I33/(D33+F33)</f>
        <v>0.30000000000000004</v>
      </c>
      <c r="I33" s="62">
        <f>SUM(I29:I32)</f>
        <v>5769.6</v>
      </c>
      <c r="J33" s="335">
        <f>SUM(J29:J32)</f>
        <v>1601.6</v>
      </c>
      <c r="K33" s="62">
        <f t="shared" ref="K33:L33" si="3">SUM(K29:K32)</f>
        <v>23400</v>
      </c>
      <c r="L33" s="62">
        <f t="shared" si="3"/>
        <v>0</v>
      </c>
      <c r="M33" s="39"/>
      <c r="N33" s="40"/>
    </row>
    <row r="34" spans="1:23" s="14" customFormat="1">
      <c r="A34" s="45">
        <v>4</v>
      </c>
      <c r="B34" s="12" t="s">
        <v>147</v>
      </c>
      <c r="C34" s="56"/>
      <c r="D34" s="57"/>
      <c r="E34" s="74"/>
      <c r="F34" s="58"/>
      <c r="G34" s="58"/>
      <c r="H34" s="74"/>
      <c r="I34" s="58"/>
      <c r="J34" s="229"/>
      <c r="K34" s="58"/>
      <c r="L34" s="58"/>
      <c r="M34" s="31"/>
      <c r="N34" s="26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14" customFormat="1">
      <c r="A35" s="80">
        <v>4.0999999999999996</v>
      </c>
      <c r="B35" s="9" t="s">
        <v>148</v>
      </c>
      <c r="C35" s="51"/>
      <c r="D35" s="66">
        <v>0</v>
      </c>
      <c r="E35" s="107">
        <v>0</v>
      </c>
      <c r="F35" s="47">
        <f>D35*E35</f>
        <v>0</v>
      </c>
      <c r="G35" s="47"/>
      <c r="H35" s="72">
        <v>0.3</v>
      </c>
      <c r="I35" s="47">
        <f>H35*(D35+F35)</f>
        <v>0</v>
      </c>
      <c r="J35" s="234"/>
      <c r="K35" s="47">
        <f>D35+F35+I35</f>
        <v>0</v>
      </c>
      <c r="L35" s="47">
        <f>K35</f>
        <v>0</v>
      </c>
      <c r="M35" s="34"/>
      <c r="N35" s="102" t="s">
        <v>111</v>
      </c>
      <c r="O35" s="13"/>
      <c r="P35" s="13"/>
      <c r="Q35" s="13"/>
      <c r="R35" s="13"/>
      <c r="S35" s="13"/>
      <c r="T35" s="13"/>
      <c r="U35" s="13"/>
      <c r="V35" s="13"/>
      <c r="W35" s="13"/>
    </row>
    <row r="36" spans="1:23" s="14" customFormat="1">
      <c r="A36" s="80">
        <v>4.2</v>
      </c>
      <c r="B36" s="10" t="s">
        <v>124</v>
      </c>
      <c r="C36" s="51"/>
      <c r="D36" s="51">
        <f>SUM(C37:C43)</f>
        <v>53846.153846153844</v>
      </c>
      <c r="E36" s="108"/>
      <c r="F36" s="47"/>
      <c r="G36" s="47"/>
      <c r="H36" s="75"/>
      <c r="I36" s="47"/>
      <c r="J36" s="229"/>
      <c r="K36" s="47"/>
      <c r="L36" s="47"/>
      <c r="M36" s="34"/>
      <c r="N36" s="102"/>
      <c r="O36" s="13"/>
      <c r="P36" s="13"/>
      <c r="Q36" s="13"/>
      <c r="R36" s="13"/>
      <c r="S36" s="13"/>
      <c r="T36" s="13"/>
      <c r="U36" s="13"/>
      <c r="V36" s="13"/>
      <c r="W36" s="13"/>
    </row>
    <row r="37" spans="1:23" s="14" customFormat="1">
      <c r="A37" s="80" t="s">
        <v>125</v>
      </c>
      <c r="B37" s="10" t="s">
        <v>71</v>
      </c>
      <c r="C37" s="51">
        <f>25000/1.3</f>
        <v>19230.76923076923</v>
      </c>
      <c r="D37" s="66"/>
      <c r="E37" s="70">
        <f t="shared" ref="E37:E43" si="4">$C$111</f>
        <v>0</v>
      </c>
      <c r="F37" s="47">
        <f t="shared" ref="F37:F43" si="5">C37*E37</f>
        <v>0</v>
      </c>
      <c r="G37" s="47"/>
      <c r="H37" s="72">
        <v>0.3</v>
      </c>
      <c r="I37" s="47">
        <f t="shared" ref="I37:I43" si="6">H37*(C37+F37)</f>
        <v>5769.2307692307686</v>
      </c>
      <c r="J37" s="234"/>
      <c r="K37" s="47">
        <f t="shared" ref="K37:K43" si="7">C37+F37+I37</f>
        <v>25000</v>
      </c>
      <c r="L37" s="47">
        <f>K37</f>
        <v>25000</v>
      </c>
      <c r="M37" s="34" t="s">
        <v>46</v>
      </c>
      <c r="N37" s="102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14" customFormat="1">
      <c r="A38" s="80" t="s">
        <v>126</v>
      </c>
      <c r="B38" s="10" t="s">
        <v>72</v>
      </c>
      <c r="C38" s="51">
        <f>14000/1.3</f>
        <v>10769.23076923077</v>
      </c>
      <c r="D38" s="66"/>
      <c r="E38" s="70">
        <f t="shared" si="4"/>
        <v>0</v>
      </c>
      <c r="F38" s="47">
        <f t="shared" si="5"/>
        <v>0</v>
      </c>
      <c r="G38" s="47"/>
      <c r="H38" s="72">
        <v>0.3</v>
      </c>
      <c r="I38" s="47">
        <f t="shared" si="6"/>
        <v>3230.7692307692309</v>
      </c>
      <c r="J38" s="234"/>
      <c r="K38" s="47">
        <f t="shared" si="7"/>
        <v>14000</v>
      </c>
      <c r="L38" s="47">
        <f t="shared" ref="L38:L56" si="8">K38</f>
        <v>14000</v>
      </c>
      <c r="M38" s="34" t="s">
        <v>46</v>
      </c>
      <c r="N38" s="102"/>
      <c r="O38" s="13"/>
      <c r="P38" s="13"/>
      <c r="Q38" s="13"/>
      <c r="R38" s="13"/>
      <c r="S38" s="13"/>
      <c r="T38" s="13"/>
      <c r="U38" s="13"/>
      <c r="V38" s="13"/>
      <c r="W38" s="13"/>
    </row>
    <row r="39" spans="1:23" s="14" customFormat="1">
      <c r="A39" s="80" t="s">
        <v>127</v>
      </c>
      <c r="B39" s="10" t="s">
        <v>73</v>
      </c>
      <c r="C39" s="51">
        <f>4000/1.3</f>
        <v>3076.9230769230767</v>
      </c>
      <c r="D39" s="66"/>
      <c r="E39" s="70">
        <f t="shared" si="4"/>
        <v>0</v>
      </c>
      <c r="F39" s="47">
        <f t="shared" si="5"/>
        <v>0</v>
      </c>
      <c r="G39" s="47"/>
      <c r="H39" s="72">
        <v>0.3</v>
      </c>
      <c r="I39" s="47">
        <f t="shared" si="6"/>
        <v>923.07692307692298</v>
      </c>
      <c r="J39" s="234"/>
      <c r="K39" s="47">
        <f t="shared" si="7"/>
        <v>3999.9999999999995</v>
      </c>
      <c r="L39" s="47">
        <f t="shared" si="8"/>
        <v>3999.9999999999995</v>
      </c>
      <c r="M39" s="34" t="s">
        <v>46</v>
      </c>
      <c r="N39" s="102"/>
      <c r="O39" s="13"/>
      <c r="P39" s="13"/>
      <c r="Q39" s="13"/>
      <c r="R39" s="13"/>
      <c r="S39" s="13"/>
      <c r="T39" s="13"/>
      <c r="U39" s="13"/>
      <c r="V39" s="13"/>
      <c r="W39" s="13"/>
    </row>
    <row r="40" spans="1:23" s="14" customFormat="1">
      <c r="A40" s="80" t="s">
        <v>128</v>
      </c>
      <c r="B40" s="10" t="s">
        <v>74</v>
      </c>
      <c r="C40" s="51">
        <f>15000/1.3</f>
        <v>11538.461538461537</v>
      </c>
      <c r="D40" s="66"/>
      <c r="E40" s="70">
        <f t="shared" si="4"/>
        <v>0</v>
      </c>
      <c r="F40" s="47">
        <f t="shared" si="5"/>
        <v>0</v>
      </c>
      <c r="G40" s="47"/>
      <c r="H40" s="72">
        <v>0.3</v>
      </c>
      <c r="I40" s="47">
        <f t="shared" si="6"/>
        <v>3461.538461538461</v>
      </c>
      <c r="J40" s="234"/>
      <c r="K40" s="47">
        <f t="shared" si="7"/>
        <v>14999.999999999998</v>
      </c>
      <c r="L40" s="47">
        <f t="shared" si="8"/>
        <v>14999.999999999998</v>
      </c>
      <c r="M40" s="34" t="s">
        <v>46</v>
      </c>
      <c r="N40" s="102"/>
      <c r="O40" s="13"/>
      <c r="P40" s="13"/>
      <c r="Q40" s="13"/>
      <c r="R40" s="13"/>
      <c r="S40" s="13"/>
      <c r="T40" s="13"/>
      <c r="U40" s="13"/>
      <c r="V40" s="13"/>
      <c r="W40" s="13"/>
    </row>
    <row r="41" spans="1:23" s="14" customFormat="1">
      <c r="A41" s="80" t="s">
        <v>129</v>
      </c>
      <c r="B41" s="10" t="s">
        <v>75</v>
      </c>
      <c r="C41" s="51">
        <f>1000/1.3</f>
        <v>769.23076923076917</v>
      </c>
      <c r="D41" s="66"/>
      <c r="E41" s="70">
        <f t="shared" si="4"/>
        <v>0</v>
      </c>
      <c r="F41" s="47">
        <f t="shared" si="5"/>
        <v>0</v>
      </c>
      <c r="G41" s="47"/>
      <c r="H41" s="72">
        <v>0.3</v>
      </c>
      <c r="I41" s="47">
        <f t="shared" si="6"/>
        <v>230.76923076923075</v>
      </c>
      <c r="J41" s="234"/>
      <c r="K41" s="47">
        <f t="shared" si="7"/>
        <v>999.99999999999989</v>
      </c>
      <c r="L41" s="47">
        <f t="shared" si="8"/>
        <v>999.99999999999989</v>
      </c>
      <c r="M41" s="34" t="s">
        <v>46</v>
      </c>
      <c r="N41" s="102"/>
      <c r="O41" s="13"/>
      <c r="P41" s="13"/>
      <c r="Q41" s="13"/>
      <c r="R41" s="13"/>
      <c r="S41" s="13"/>
      <c r="T41" s="13"/>
      <c r="U41" s="13"/>
      <c r="V41" s="13"/>
      <c r="W41" s="13"/>
    </row>
    <row r="42" spans="1:23" s="14" customFormat="1">
      <c r="A42" s="80" t="s">
        <v>130</v>
      </c>
      <c r="B42" s="10" t="s">
        <v>76</v>
      </c>
      <c r="C42" s="51">
        <f>10000/1.3</f>
        <v>7692.3076923076924</v>
      </c>
      <c r="D42" s="66"/>
      <c r="E42" s="70">
        <f t="shared" si="4"/>
        <v>0</v>
      </c>
      <c r="F42" s="47">
        <f t="shared" si="5"/>
        <v>0</v>
      </c>
      <c r="G42" s="47"/>
      <c r="H42" s="72">
        <v>0.3</v>
      </c>
      <c r="I42" s="47">
        <f t="shared" si="6"/>
        <v>2307.6923076923076</v>
      </c>
      <c r="J42" s="234"/>
      <c r="K42" s="47">
        <f t="shared" si="7"/>
        <v>10000</v>
      </c>
      <c r="L42" s="47">
        <f t="shared" si="8"/>
        <v>10000</v>
      </c>
      <c r="M42" s="34" t="s">
        <v>46</v>
      </c>
      <c r="N42" s="102"/>
      <c r="O42" s="13"/>
      <c r="P42" s="13"/>
      <c r="Q42" s="13"/>
      <c r="R42" s="13"/>
      <c r="S42" s="13"/>
      <c r="T42" s="13"/>
      <c r="U42" s="13"/>
      <c r="V42" s="13"/>
      <c r="W42" s="13"/>
    </row>
    <row r="43" spans="1:23" s="14" customFormat="1">
      <c r="A43" s="80" t="s">
        <v>131</v>
      </c>
      <c r="B43" s="10" t="s">
        <v>77</v>
      </c>
      <c r="C43" s="51">
        <f>1000/1.3</f>
        <v>769.23076923076917</v>
      </c>
      <c r="D43" s="66"/>
      <c r="E43" s="70">
        <f t="shared" si="4"/>
        <v>0</v>
      </c>
      <c r="F43" s="47">
        <f t="shared" si="5"/>
        <v>0</v>
      </c>
      <c r="G43" s="47"/>
      <c r="H43" s="72">
        <v>0.3</v>
      </c>
      <c r="I43" s="47">
        <f t="shared" si="6"/>
        <v>230.76923076923075</v>
      </c>
      <c r="J43" s="234"/>
      <c r="K43" s="47">
        <f t="shared" si="7"/>
        <v>999.99999999999989</v>
      </c>
      <c r="L43" s="47">
        <f t="shared" si="8"/>
        <v>999.99999999999989</v>
      </c>
      <c r="M43" s="34" t="s">
        <v>46</v>
      </c>
      <c r="N43" s="102"/>
      <c r="O43" s="13"/>
      <c r="P43" s="13"/>
      <c r="Q43" s="13"/>
      <c r="R43" s="13"/>
      <c r="S43" s="13"/>
      <c r="T43" s="13"/>
      <c r="U43" s="13"/>
      <c r="V43" s="13"/>
      <c r="W43" s="13"/>
    </row>
    <row r="44" spans="1:23" s="14" customFormat="1">
      <c r="A44" s="80">
        <v>4.3</v>
      </c>
      <c r="B44" s="10" t="s">
        <v>87</v>
      </c>
      <c r="C44" s="51"/>
      <c r="D44" s="66">
        <f>SUM(C45:C49)</f>
        <v>25384.615384615387</v>
      </c>
      <c r="E44" s="70"/>
      <c r="F44" s="47"/>
      <c r="G44" s="47"/>
      <c r="H44" s="72"/>
      <c r="I44" s="47"/>
      <c r="J44" s="234"/>
      <c r="K44" s="47"/>
      <c r="L44" s="47"/>
      <c r="M44" s="34"/>
      <c r="N44" s="102"/>
      <c r="O44" s="13"/>
      <c r="P44" s="13"/>
      <c r="Q44" s="13"/>
      <c r="R44" s="13"/>
      <c r="S44" s="13"/>
      <c r="T44" s="13"/>
      <c r="U44" s="13"/>
      <c r="V44" s="13"/>
      <c r="W44" s="13"/>
    </row>
    <row r="45" spans="1:23" s="14" customFormat="1">
      <c r="A45" s="80" t="s">
        <v>187</v>
      </c>
      <c r="B45" s="10" t="s">
        <v>92</v>
      </c>
      <c r="C45" s="51">
        <f>2000/1.3</f>
        <v>1538.4615384615383</v>
      </c>
      <c r="D45" s="66"/>
      <c r="E45" s="70">
        <f>$C$111</f>
        <v>0</v>
      </c>
      <c r="F45" s="47">
        <f>C45*E45</f>
        <v>0</v>
      </c>
      <c r="G45" s="47"/>
      <c r="H45" s="72">
        <v>0.3</v>
      </c>
      <c r="I45" s="47">
        <f>H45*(C45+F45)</f>
        <v>461.53846153846149</v>
      </c>
      <c r="J45" s="234"/>
      <c r="K45" s="47">
        <f>C45+F45+I45</f>
        <v>1999.9999999999998</v>
      </c>
      <c r="L45" s="47">
        <f t="shared" si="8"/>
        <v>1999.9999999999998</v>
      </c>
      <c r="M45" s="34" t="s">
        <v>46</v>
      </c>
      <c r="N45" s="102"/>
      <c r="O45" s="13"/>
      <c r="P45" s="13"/>
      <c r="Q45" s="13"/>
      <c r="R45" s="13"/>
      <c r="S45" s="13"/>
      <c r="T45" s="13"/>
      <c r="U45" s="13"/>
      <c r="V45" s="13"/>
      <c r="W45" s="13"/>
    </row>
    <row r="46" spans="1:23" s="14" customFormat="1">
      <c r="A46" s="80" t="s">
        <v>188</v>
      </c>
      <c r="B46" s="10" t="s">
        <v>93</v>
      </c>
      <c r="C46" s="51">
        <f>25000/1.3</f>
        <v>19230.76923076923</v>
      </c>
      <c r="D46" s="66"/>
      <c r="E46" s="70">
        <f>$C$111</f>
        <v>0</v>
      </c>
      <c r="F46" s="47">
        <f>C46*E46</f>
        <v>0</v>
      </c>
      <c r="G46" s="47"/>
      <c r="H46" s="72">
        <v>0.3</v>
      </c>
      <c r="I46" s="47">
        <f>H46*(C46+F46)</f>
        <v>5769.2307692307686</v>
      </c>
      <c r="J46" s="234"/>
      <c r="K46" s="47">
        <f>C46+F46+I46</f>
        <v>25000</v>
      </c>
      <c r="L46" s="47">
        <f t="shared" si="8"/>
        <v>25000</v>
      </c>
      <c r="M46" s="34" t="s">
        <v>47</v>
      </c>
      <c r="N46" s="102"/>
      <c r="O46" s="13"/>
      <c r="P46" s="13"/>
      <c r="Q46" s="13"/>
      <c r="R46" s="13"/>
      <c r="S46" s="13"/>
      <c r="T46" s="13"/>
      <c r="U46" s="13"/>
      <c r="V46" s="13"/>
      <c r="W46" s="13"/>
    </row>
    <row r="47" spans="1:23" s="14" customFormat="1">
      <c r="A47" s="80" t="s">
        <v>81</v>
      </c>
      <c r="B47" s="10" t="s">
        <v>94</v>
      </c>
      <c r="C47" s="51">
        <f>2000/1.3</f>
        <v>1538.4615384615383</v>
      </c>
      <c r="D47" s="66"/>
      <c r="E47" s="70">
        <f>$C$111</f>
        <v>0</v>
      </c>
      <c r="F47" s="47">
        <f>C47*E47</f>
        <v>0</v>
      </c>
      <c r="G47" s="47"/>
      <c r="H47" s="72">
        <v>0.3</v>
      </c>
      <c r="I47" s="47">
        <f>H47*(C47+F47)</f>
        <v>461.53846153846149</v>
      </c>
      <c r="J47" s="234"/>
      <c r="K47" s="47">
        <f>C47+F47+I47</f>
        <v>1999.9999999999998</v>
      </c>
      <c r="L47" s="47">
        <f t="shared" si="8"/>
        <v>1999.9999999999998</v>
      </c>
      <c r="M47" s="34" t="s">
        <v>47</v>
      </c>
      <c r="N47" s="102"/>
      <c r="O47" s="13"/>
      <c r="P47" s="13"/>
      <c r="Q47" s="13"/>
      <c r="R47" s="13"/>
      <c r="S47" s="13"/>
      <c r="T47" s="13"/>
      <c r="U47" s="13"/>
      <c r="V47" s="13"/>
      <c r="W47" s="13"/>
    </row>
    <row r="48" spans="1:23" s="14" customFormat="1">
      <c r="A48" s="80" t="s">
        <v>189</v>
      </c>
      <c r="B48" s="10" t="s">
        <v>95</v>
      </c>
      <c r="C48" s="51">
        <f>3000/1.3</f>
        <v>2307.6923076923076</v>
      </c>
      <c r="D48" s="66"/>
      <c r="E48" s="70">
        <f>$C$111</f>
        <v>0</v>
      </c>
      <c r="F48" s="47">
        <f>C48*E48</f>
        <v>0</v>
      </c>
      <c r="G48" s="47"/>
      <c r="H48" s="72">
        <v>0.3</v>
      </c>
      <c r="I48" s="47">
        <f>H48*(C48+F48)</f>
        <v>692.30769230769226</v>
      </c>
      <c r="J48" s="234"/>
      <c r="K48" s="47">
        <f>C48+F48+I48</f>
        <v>3000</v>
      </c>
      <c r="L48" s="47">
        <f t="shared" si="8"/>
        <v>3000</v>
      </c>
      <c r="M48" s="34" t="s">
        <v>46</v>
      </c>
      <c r="N48" s="102"/>
      <c r="O48" s="13"/>
      <c r="P48" s="13"/>
      <c r="Q48" s="13"/>
      <c r="R48" s="13"/>
      <c r="S48" s="13"/>
      <c r="T48" s="13"/>
      <c r="U48" s="13"/>
      <c r="V48" s="13"/>
      <c r="W48" s="13"/>
    </row>
    <row r="49" spans="1:23" s="14" customFormat="1">
      <c r="A49" s="80" t="s">
        <v>82</v>
      </c>
      <c r="B49" s="92" t="s">
        <v>97</v>
      </c>
      <c r="C49" s="51">
        <f>1000/1.3</f>
        <v>769.23076923076917</v>
      </c>
      <c r="D49" s="66"/>
      <c r="E49" s="70">
        <f>$C$111</f>
        <v>0</v>
      </c>
      <c r="F49" s="47">
        <f>C49*E49</f>
        <v>0</v>
      </c>
      <c r="G49" s="47"/>
      <c r="H49" s="72">
        <v>0.3</v>
      </c>
      <c r="I49" s="47">
        <f>H49*(C49+F49)</f>
        <v>230.76923076923075</v>
      </c>
      <c r="J49" s="234"/>
      <c r="K49" s="47">
        <f>C49+F49+I49</f>
        <v>999.99999999999989</v>
      </c>
      <c r="L49" s="47">
        <f t="shared" si="8"/>
        <v>999.99999999999989</v>
      </c>
      <c r="M49" s="34" t="s">
        <v>46</v>
      </c>
      <c r="N49" s="102"/>
      <c r="O49" s="13"/>
      <c r="P49" s="13"/>
      <c r="Q49" s="13"/>
      <c r="R49" s="13"/>
      <c r="S49" s="13"/>
      <c r="T49" s="13"/>
      <c r="U49" s="13"/>
      <c r="V49" s="13"/>
      <c r="W49" s="13"/>
    </row>
    <row r="50" spans="1:23" s="14" customFormat="1">
      <c r="A50" s="80">
        <v>4.4000000000000004</v>
      </c>
      <c r="B50" s="92" t="s">
        <v>98</v>
      </c>
      <c r="C50" s="51"/>
      <c r="D50" s="66">
        <f>SUM(C51:C52)</f>
        <v>6153.8461538461543</v>
      </c>
      <c r="E50" s="70"/>
      <c r="F50" s="47"/>
      <c r="G50" s="47"/>
      <c r="H50" s="72"/>
      <c r="I50" s="47"/>
      <c r="J50" s="234"/>
      <c r="K50" s="47"/>
      <c r="L50" s="47"/>
      <c r="M50" s="34"/>
      <c r="N50" s="102"/>
      <c r="O50" s="13"/>
      <c r="P50" s="13"/>
      <c r="Q50" s="13"/>
      <c r="R50" s="13"/>
      <c r="S50" s="13"/>
      <c r="T50" s="13"/>
      <c r="U50" s="13"/>
      <c r="V50" s="13"/>
      <c r="W50" s="13"/>
    </row>
    <row r="51" spans="1:23" s="14" customFormat="1">
      <c r="A51" s="80" t="s">
        <v>190</v>
      </c>
      <c r="B51" s="92" t="s">
        <v>100</v>
      </c>
      <c r="C51" s="51">
        <f>5000/1.3</f>
        <v>3846.1538461538462</v>
      </c>
      <c r="D51" s="66"/>
      <c r="E51" s="70">
        <f>$C$111</f>
        <v>0</v>
      </c>
      <c r="F51" s="47">
        <f>C51*E51</f>
        <v>0</v>
      </c>
      <c r="G51" s="47"/>
      <c r="H51" s="72">
        <v>0.3</v>
      </c>
      <c r="I51" s="47">
        <f>H51*(C51+F51)</f>
        <v>1153.8461538461538</v>
      </c>
      <c r="J51" s="234"/>
      <c r="K51" s="47">
        <f>C51+F51+I51</f>
        <v>5000</v>
      </c>
      <c r="L51" s="47">
        <f t="shared" si="8"/>
        <v>5000</v>
      </c>
      <c r="M51" s="34" t="s">
        <v>46</v>
      </c>
      <c r="N51" s="102"/>
      <c r="O51" s="13"/>
      <c r="P51" s="13"/>
      <c r="Q51" s="13"/>
      <c r="R51" s="13"/>
      <c r="S51" s="13"/>
      <c r="T51" s="13"/>
      <c r="U51" s="13"/>
      <c r="V51" s="13"/>
      <c r="W51" s="13"/>
    </row>
    <row r="52" spans="1:23" s="14" customFormat="1">
      <c r="A52" s="80" t="s">
        <v>191</v>
      </c>
      <c r="B52" s="92" t="s">
        <v>45</v>
      </c>
      <c r="C52" s="51">
        <f>3000/1.3</f>
        <v>2307.6923076923076</v>
      </c>
      <c r="D52" s="66"/>
      <c r="E52" s="70">
        <f>$C$111</f>
        <v>0</v>
      </c>
      <c r="F52" s="47">
        <f>C52*E52</f>
        <v>0</v>
      </c>
      <c r="G52" s="47"/>
      <c r="H52" s="72">
        <v>0.3</v>
      </c>
      <c r="I52" s="47">
        <f>H52*(C52+F52)</f>
        <v>692.30769230769226</v>
      </c>
      <c r="J52" s="234"/>
      <c r="K52" s="47">
        <f>C52+F52+I52</f>
        <v>3000</v>
      </c>
      <c r="L52" s="47">
        <f t="shared" si="8"/>
        <v>3000</v>
      </c>
      <c r="M52" s="34" t="s">
        <v>46</v>
      </c>
      <c r="N52" s="102"/>
      <c r="O52" s="13"/>
      <c r="P52" s="13"/>
      <c r="Q52" s="13"/>
      <c r="R52" s="13"/>
      <c r="S52" s="13"/>
      <c r="T52" s="13"/>
      <c r="U52" s="13"/>
      <c r="V52" s="13"/>
      <c r="W52" s="13"/>
    </row>
    <row r="53" spans="1:23" s="14" customFormat="1">
      <c r="A53" s="80">
        <v>4.5</v>
      </c>
      <c r="B53" s="92" t="s">
        <v>19</v>
      </c>
      <c r="C53" s="51"/>
      <c r="D53" s="66">
        <f>SUM(C54:C56)</f>
        <v>0</v>
      </c>
      <c r="E53" s="70"/>
      <c r="F53" s="47"/>
      <c r="G53" s="47"/>
      <c r="H53" s="72"/>
      <c r="I53" s="47"/>
      <c r="J53" s="234"/>
      <c r="K53" s="47"/>
      <c r="L53" s="47"/>
      <c r="M53" s="34"/>
      <c r="N53" s="102"/>
      <c r="O53" s="13"/>
      <c r="P53" s="13"/>
      <c r="Q53" s="13"/>
      <c r="R53" s="13"/>
      <c r="S53" s="13"/>
      <c r="T53" s="13"/>
      <c r="U53" s="13"/>
      <c r="V53" s="13"/>
      <c r="W53" s="13"/>
    </row>
    <row r="54" spans="1:23" s="14" customFormat="1">
      <c r="A54" s="80" t="s">
        <v>192</v>
      </c>
      <c r="B54" s="92" t="s">
        <v>20</v>
      </c>
      <c r="C54" s="51">
        <v>0</v>
      </c>
      <c r="D54" s="66"/>
      <c r="E54" s="70">
        <f>$C$111</f>
        <v>0</v>
      </c>
      <c r="F54" s="47">
        <f>C54*E54</f>
        <v>0</v>
      </c>
      <c r="G54" s="47"/>
      <c r="H54" s="72">
        <v>0.3</v>
      </c>
      <c r="I54" s="47">
        <f>H54*(C54+F54)</f>
        <v>0</v>
      </c>
      <c r="J54" s="234"/>
      <c r="K54" s="47">
        <f>C54+F54+I54</f>
        <v>0</v>
      </c>
      <c r="L54" s="47">
        <f t="shared" si="8"/>
        <v>0</v>
      </c>
      <c r="M54" s="34" t="s">
        <v>46</v>
      </c>
      <c r="N54" s="102"/>
      <c r="O54" s="13"/>
      <c r="P54" s="13"/>
      <c r="Q54" s="13"/>
      <c r="R54" s="13"/>
      <c r="S54" s="13"/>
      <c r="T54" s="13"/>
      <c r="U54" s="13"/>
      <c r="V54" s="13"/>
      <c r="W54" s="13"/>
    </row>
    <row r="55" spans="1:23" s="14" customFormat="1">
      <c r="A55" s="80" t="s">
        <v>193</v>
      </c>
      <c r="B55" s="92" t="s">
        <v>21</v>
      </c>
      <c r="C55" s="51">
        <v>0</v>
      </c>
      <c r="D55" s="66"/>
      <c r="E55" s="70">
        <f>$C$111</f>
        <v>0</v>
      </c>
      <c r="F55" s="47">
        <f>C55*E55</f>
        <v>0</v>
      </c>
      <c r="G55" s="47"/>
      <c r="H55" s="72">
        <v>0.3</v>
      </c>
      <c r="I55" s="47">
        <f>H55*(C55+F55)</f>
        <v>0</v>
      </c>
      <c r="J55" s="234"/>
      <c r="K55" s="47">
        <f>C55+F55+I55</f>
        <v>0</v>
      </c>
      <c r="L55" s="47">
        <f t="shared" si="8"/>
        <v>0</v>
      </c>
      <c r="M55" s="34" t="s">
        <v>46</v>
      </c>
      <c r="N55" s="102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14" customFormat="1">
      <c r="A56" s="80" t="s">
        <v>194</v>
      </c>
      <c r="B56" s="92" t="s">
        <v>22</v>
      </c>
      <c r="C56" s="51">
        <v>0</v>
      </c>
      <c r="D56" s="66"/>
      <c r="E56" s="70">
        <f>$C$111</f>
        <v>0</v>
      </c>
      <c r="F56" s="47">
        <f>C56*E56</f>
        <v>0</v>
      </c>
      <c r="G56" s="47"/>
      <c r="H56" s="72">
        <v>0.3</v>
      </c>
      <c r="I56" s="47">
        <f>H56*(C56+F56)</f>
        <v>0</v>
      </c>
      <c r="J56" s="234"/>
      <c r="K56" s="47">
        <f>C56+F56+I56</f>
        <v>0</v>
      </c>
      <c r="L56" s="47">
        <f t="shared" si="8"/>
        <v>0</v>
      </c>
      <c r="M56" s="34" t="s">
        <v>46</v>
      </c>
      <c r="N56" s="102"/>
      <c r="O56" s="13"/>
      <c r="P56" s="13"/>
      <c r="Q56" s="13"/>
      <c r="R56" s="13"/>
      <c r="S56" s="13"/>
      <c r="T56" s="13"/>
      <c r="U56" s="13"/>
      <c r="V56" s="13"/>
      <c r="W56" s="13"/>
    </row>
    <row r="57" spans="1:23" s="14" customFormat="1">
      <c r="A57" s="80">
        <v>4.5999999999999996</v>
      </c>
      <c r="B57" s="10" t="s">
        <v>223</v>
      </c>
      <c r="C57" s="51"/>
      <c r="D57" s="66">
        <v>5000</v>
      </c>
      <c r="E57" s="70">
        <f>$C$107</f>
        <v>0.2</v>
      </c>
      <c r="F57" s="47">
        <f>D57*E57</f>
        <v>1000</v>
      </c>
      <c r="G57" s="47"/>
      <c r="H57" s="75">
        <v>0.2</v>
      </c>
      <c r="I57" s="47">
        <f>H57*(D57+F57)</f>
        <v>1200</v>
      </c>
      <c r="J57" s="229"/>
      <c r="K57" s="47">
        <f>D57+F57+I57</f>
        <v>7200</v>
      </c>
      <c r="L57" s="47"/>
      <c r="M57" s="34"/>
      <c r="N57" s="103"/>
      <c r="O57" s="13"/>
      <c r="P57" s="13"/>
      <c r="Q57" s="13"/>
      <c r="R57" s="13"/>
      <c r="S57" s="13"/>
      <c r="T57" s="13"/>
      <c r="U57" s="13"/>
      <c r="V57" s="13"/>
      <c r="W57" s="13"/>
    </row>
    <row r="58" spans="1:23" s="14" customFormat="1">
      <c r="A58" s="238">
        <v>4.7</v>
      </c>
      <c r="B58" s="227" t="s">
        <v>195</v>
      </c>
      <c r="C58" s="248"/>
      <c r="D58" s="303">
        <v>440</v>
      </c>
      <c r="E58" s="231">
        <v>0.4</v>
      </c>
      <c r="F58" s="232">
        <f>D58*E58</f>
        <v>176</v>
      </c>
      <c r="G58" s="232">
        <f>D58+F58</f>
        <v>616</v>
      </c>
      <c r="H58" s="241">
        <v>0.3</v>
      </c>
      <c r="I58" s="232">
        <f>H58*(D58+F58)</f>
        <v>184.79999999999998</v>
      </c>
      <c r="J58" s="229">
        <f>G58+I58</f>
        <v>800.8</v>
      </c>
      <c r="K58" s="232"/>
      <c r="L58" s="232"/>
      <c r="M58" s="244"/>
      <c r="N58" s="237"/>
      <c r="O58" s="13"/>
      <c r="P58" s="13"/>
      <c r="Q58" s="13"/>
      <c r="R58" s="13"/>
      <c r="S58" s="13"/>
      <c r="T58" s="13"/>
      <c r="U58" s="13"/>
      <c r="V58" s="13"/>
      <c r="W58" s="13"/>
    </row>
    <row r="59" spans="1:23" s="14" customFormat="1">
      <c r="A59" s="238">
        <v>4.8</v>
      </c>
      <c r="B59" s="227" t="s">
        <v>224</v>
      </c>
      <c r="C59" s="248"/>
      <c r="D59" s="303">
        <v>0</v>
      </c>
      <c r="E59" s="231">
        <f>$C$108</f>
        <v>0.4</v>
      </c>
      <c r="F59" s="232">
        <f>D59*E59</f>
        <v>0</v>
      </c>
      <c r="G59" s="232">
        <f>D59+F59</f>
        <v>0</v>
      </c>
      <c r="H59" s="241">
        <v>0.2</v>
      </c>
      <c r="I59" s="232">
        <f>H59*(D59+F59)</f>
        <v>0</v>
      </c>
      <c r="J59" s="229">
        <v>0</v>
      </c>
      <c r="K59" s="232"/>
      <c r="L59" s="232"/>
      <c r="M59" s="244"/>
      <c r="N59" s="237"/>
      <c r="O59" s="13"/>
      <c r="P59" s="13"/>
      <c r="Q59" s="13"/>
      <c r="R59" s="13"/>
      <c r="S59" s="13"/>
      <c r="T59" s="13"/>
      <c r="U59" s="13"/>
      <c r="V59" s="13"/>
      <c r="W59" s="13"/>
    </row>
    <row r="60" spans="1:23">
      <c r="A60" s="36"/>
      <c r="B60" s="41" t="s">
        <v>68</v>
      </c>
      <c r="C60" s="61"/>
      <c r="D60" s="53">
        <f>SUM(D35:D59)</f>
        <v>90824.61538461539</v>
      </c>
      <c r="E60" s="73">
        <f>F60/D60</f>
        <v>1.2948031709465411E-2</v>
      </c>
      <c r="F60" s="54">
        <f>SUM(F35:F59)</f>
        <v>1176</v>
      </c>
      <c r="G60" s="55">
        <f>SUM(G58:G59)</f>
        <v>616</v>
      </c>
      <c r="H60" s="79">
        <f>I60/(D60+F60)</f>
        <v>0.29347830449294643</v>
      </c>
      <c r="I60" s="54">
        <f>SUM(I35:I59)</f>
        <v>27000.184615384609</v>
      </c>
      <c r="J60" s="334">
        <f>SUM(J35:J59)</f>
        <v>800.8</v>
      </c>
      <c r="K60" s="54">
        <f>SUM(K35:K59)</f>
        <v>118200</v>
      </c>
      <c r="L60" s="54">
        <f>SUM(L35:L59)</f>
        <v>111000</v>
      </c>
      <c r="M60" s="42"/>
      <c r="N60" s="40"/>
    </row>
    <row r="61" spans="1:23">
      <c r="A61" s="217">
        <v>5</v>
      </c>
      <c r="B61" s="225" t="s">
        <v>141</v>
      </c>
      <c r="C61" s="218"/>
      <c r="D61" s="219"/>
      <c r="E61" s="220"/>
      <c r="F61" s="221"/>
      <c r="G61" s="221"/>
      <c r="H61" s="222"/>
      <c r="I61" s="221"/>
      <c r="J61" s="336"/>
      <c r="K61" s="221"/>
      <c r="L61" s="221"/>
      <c r="M61" s="223"/>
      <c r="N61" s="224"/>
    </row>
    <row r="62" spans="1:23" s="14" customFormat="1">
      <c r="A62" s="80">
        <v>5.0999999999999996</v>
      </c>
      <c r="B62" s="10" t="s">
        <v>78</v>
      </c>
      <c r="C62" s="51"/>
      <c r="D62" s="66">
        <f>SUM(C63:C66)</f>
        <v>18923.076923076926</v>
      </c>
      <c r="E62" s="107"/>
      <c r="F62" s="47"/>
      <c r="G62" s="47"/>
      <c r="H62" s="72"/>
      <c r="I62" s="47"/>
      <c r="J62" s="234"/>
      <c r="K62" s="47"/>
      <c r="L62" s="47"/>
      <c r="M62" s="34"/>
      <c r="N62" s="102"/>
      <c r="O62" s="13"/>
      <c r="P62" s="13"/>
      <c r="Q62" s="13"/>
      <c r="R62" s="13"/>
      <c r="S62" s="13"/>
      <c r="T62" s="13"/>
      <c r="U62" s="13"/>
      <c r="V62" s="13"/>
      <c r="W62" s="13"/>
    </row>
    <row r="63" spans="1:23" s="14" customFormat="1">
      <c r="A63" s="238" t="s">
        <v>133</v>
      </c>
      <c r="B63" s="227" t="s">
        <v>241</v>
      </c>
      <c r="C63" s="248">
        <v>12000</v>
      </c>
      <c r="D63" s="303"/>
      <c r="E63" s="233">
        <v>0.4</v>
      </c>
      <c r="F63" s="232">
        <f>C63*E63</f>
        <v>4800</v>
      </c>
      <c r="G63" s="232">
        <f>C63+F63</f>
        <v>16800</v>
      </c>
      <c r="H63" s="233">
        <v>0.3</v>
      </c>
      <c r="I63" s="232">
        <f>H63*(C63+F63)</f>
        <v>5040</v>
      </c>
      <c r="J63" s="234">
        <f>C63+F63+I63</f>
        <v>21840</v>
      </c>
      <c r="K63" s="232"/>
      <c r="L63" s="232"/>
      <c r="M63" s="244"/>
      <c r="N63" s="236"/>
      <c r="O63" s="13"/>
      <c r="P63" s="13"/>
      <c r="Q63" s="13"/>
      <c r="R63" s="13"/>
      <c r="S63" s="13"/>
      <c r="T63" s="13"/>
      <c r="U63" s="13"/>
      <c r="V63" s="13"/>
      <c r="W63" s="13"/>
    </row>
    <row r="64" spans="1:23" s="14" customFormat="1">
      <c r="A64" s="80" t="s">
        <v>134</v>
      </c>
      <c r="B64" s="10" t="s">
        <v>198</v>
      </c>
      <c r="C64" s="51">
        <f>3000/1.3</f>
        <v>2307.6923076923076</v>
      </c>
      <c r="D64" s="66"/>
      <c r="E64" s="107">
        <f>$C$111</f>
        <v>0</v>
      </c>
      <c r="F64" s="47">
        <f>C64*E64</f>
        <v>0</v>
      </c>
      <c r="G64" s="47"/>
      <c r="H64" s="72">
        <v>0.3</v>
      </c>
      <c r="I64" s="47">
        <f>H64*(C64+F64)</f>
        <v>692.30769230769226</v>
      </c>
      <c r="J64" s="234"/>
      <c r="K64" s="47">
        <f>C64+F64+I64</f>
        <v>3000</v>
      </c>
      <c r="L64" s="47">
        <f t="shared" ref="L64:L67" si="9">K64</f>
        <v>3000</v>
      </c>
      <c r="M64" s="34"/>
      <c r="N64" s="102"/>
      <c r="O64" s="13"/>
      <c r="P64" s="13"/>
      <c r="Q64" s="13"/>
      <c r="R64" s="13"/>
      <c r="S64" s="13"/>
      <c r="T64" s="13"/>
      <c r="U64" s="13"/>
      <c r="V64" s="13"/>
      <c r="W64" s="13"/>
    </row>
    <row r="65" spans="1:23" s="14" customFormat="1">
      <c r="A65" s="80" t="s">
        <v>158</v>
      </c>
      <c r="B65" s="10" t="s">
        <v>226</v>
      </c>
      <c r="C65" s="51">
        <f>1000/1.3</f>
        <v>769.23076923076917</v>
      </c>
      <c r="D65" s="66"/>
      <c r="E65" s="107">
        <f>$C$111</f>
        <v>0</v>
      </c>
      <c r="F65" s="47">
        <f>C65*E65</f>
        <v>0</v>
      </c>
      <c r="G65" s="47"/>
      <c r="H65" s="72">
        <v>0.3</v>
      </c>
      <c r="I65" s="47">
        <f>H65*(C65+F65)</f>
        <v>230.76923076923075</v>
      </c>
      <c r="J65" s="234"/>
      <c r="K65" s="47">
        <f>C65+F65+I65</f>
        <v>999.99999999999989</v>
      </c>
      <c r="L65" s="47">
        <f t="shared" si="9"/>
        <v>999.99999999999989</v>
      </c>
      <c r="M65" s="34"/>
      <c r="N65" s="102"/>
      <c r="O65" s="13"/>
      <c r="P65" s="13"/>
      <c r="Q65" s="13"/>
      <c r="R65" s="13"/>
      <c r="S65" s="13"/>
      <c r="T65" s="13"/>
      <c r="U65" s="13"/>
      <c r="V65" s="13"/>
      <c r="W65" s="13"/>
    </row>
    <row r="66" spans="1:23" s="14" customFormat="1">
      <c r="A66" s="80" t="s">
        <v>160</v>
      </c>
      <c r="B66" s="10" t="s">
        <v>199</v>
      </c>
      <c r="C66" s="51">
        <f>5000/1.3</f>
        <v>3846.1538461538462</v>
      </c>
      <c r="D66" s="66"/>
      <c r="E66" s="107">
        <f>$C$111</f>
        <v>0</v>
      </c>
      <c r="F66" s="47">
        <f>C66*E66</f>
        <v>0</v>
      </c>
      <c r="G66" s="47"/>
      <c r="H66" s="72">
        <v>0.3</v>
      </c>
      <c r="I66" s="47">
        <f>H66*(C66+F66)</f>
        <v>1153.8461538461538</v>
      </c>
      <c r="J66" s="234"/>
      <c r="K66" s="47">
        <f>C66+F66+I66</f>
        <v>5000</v>
      </c>
      <c r="L66" s="47">
        <f t="shared" si="9"/>
        <v>5000</v>
      </c>
      <c r="M66" s="34"/>
      <c r="N66" s="102"/>
      <c r="O66" s="13"/>
      <c r="P66" s="13"/>
      <c r="Q66" s="13"/>
      <c r="R66" s="13"/>
      <c r="S66" s="13"/>
      <c r="T66" s="13"/>
      <c r="U66" s="13"/>
      <c r="V66" s="13"/>
      <c r="W66" s="13"/>
    </row>
    <row r="67" spans="1:23">
      <c r="A67" s="36"/>
      <c r="B67" s="41" t="s">
        <v>196</v>
      </c>
      <c r="C67" s="61"/>
      <c r="D67" s="53">
        <f>SUM(D62:D66)</f>
        <v>18923.076923076926</v>
      </c>
      <c r="E67" s="215"/>
      <c r="F67" s="203">
        <f>SUM(F63:F66)</f>
        <v>4800</v>
      </c>
      <c r="G67" s="203">
        <v>0</v>
      </c>
      <c r="H67" s="79"/>
      <c r="I67" s="203">
        <f>SUM(I63:I66)</f>
        <v>7116.9230769230762</v>
      </c>
      <c r="J67" s="336">
        <f>SUM(J63:J66)</f>
        <v>21840</v>
      </c>
      <c r="K67" s="203">
        <f>SUM(K63:K66)</f>
        <v>9000</v>
      </c>
      <c r="L67" s="203">
        <f t="shared" si="9"/>
        <v>9000</v>
      </c>
      <c r="M67" s="42"/>
      <c r="N67" s="216"/>
    </row>
    <row r="68" spans="1:23" s="14" customFormat="1">
      <c r="A68" s="270">
        <v>5</v>
      </c>
      <c r="B68" s="271" t="s">
        <v>114</v>
      </c>
      <c r="C68" s="272"/>
      <c r="D68" s="273"/>
      <c r="E68" s="274"/>
      <c r="F68" s="275"/>
      <c r="G68" s="275"/>
      <c r="H68" s="274"/>
      <c r="I68" s="275"/>
      <c r="J68" s="230"/>
      <c r="K68" s="275"/>
      <c r="L68" s="275"/>
      <c r="M68" s="276"/>
      <c r="N68" s="277"/>
      <c r="O68" s="13"/>
      <c r="P68" s="13"/>
      <c r="Q68" s="16"/>
      <c r="R68" s="13"/>
      <c r="S68" s="13"/>
      <c r="T68" s="13"/>
      <c r="U68" s="13"/>
      <c r="V68" s="13"/>
      <c r="W68" s="13"/>
    </row>
    <row r="69" spans="1:23">
      <c r="A69" s="10">
        <v>5.0999999999999996</v>
      </c>
      <c r="B69" s="9" t="s">
        <v>132</v>
      </c>
      <c r="C69" s="50"/>
      <c r="D69" s="51">
        <f>SUM(C70:C73)</f>
        <v>27600</v>
      </c>
      <c r="E69" s="70"/>
      <c r="F69" s="47"/>
      <c r="G69" s="47"/>
      <c r="H69" s="75"/>
      <c r="I69" s="47"/>
      <c r="J69" s="229"/>
      <c r="K69" s="47"/>
      <c r="L69" s="47"/>
      <c r="M69" s="34"/>
      <c r="N69" s="99" t="s">
        <v>112</v>
      </c>
    </row>
    <row r="70" spans="1:23">
      <c r="A70" s="227" t="s">
        <v>158</v>
      </c>
      <c r="B70" s="328" t="s">
        <v>242</v>
      </c>
      <c r="C70" s="230">
        <v>21000</v>
      </c>
      <c r="D70" s="248"/>
      <c r="E70" s="233">
        <v>0.4</v>
      </c>
      <c r="F70" s="232">
        <f>C70*E70</f>
        <v>8400</v>
      </c>
      <c r="G70" s="232">
        <f>C70+F70</f>
        <v>29400</v>
      </c>
      <c r="H70" s="233">
        <v>0.3</v>
      </c>
      <c r="I70" s="232">
        <f>H70*(C70+F70)</f>
        <v>8820</v>
      </c>
      <c r="J70" s="234">
        <f>G70+I70</f>
        <v>38220</v>
      </c>
      <c r="K70" s="232"/>
      <c r="L70" s="232"/>
      <c r="M70" s="244"/>
      <c r="N70" s="246"/>
    </row>
    <row r="71" spans="1:23">
      <c r="A71" s="10" t="s">
        <v>160</v>
      </c>
      <c r="B71" s="29" t="s">
        <v>118</v>
      </c>
      <c r="C71" s="50">
        <v>3000</v>
      </c>
      <c r="D71" s="51"/>
      <c r="E71" s="70">
        <f>$C$112</f>
        <v>0.26</v>
      </c>
      <c r="F71" s="47">
        <f t="shared" ref="F71:F72" si="10">C71*E71</f>
        <v>780</v>
      </c>
      <c r="G71" s="47"/>
      <c r="H71" s="72">
        <v>0.3</v>
      </c>
      <c r="I71" s="47">
        <f t="shared" ref="I71:I72" si="11">H71*(C71+F71)</f>
        <v>1134</v>
      </c>
      <c r="J71" s="234"/>
      <c r="K71" s="47">
        <f t="shared" ref="K71" si="12">C71+F71+I71</f>
        <v>4914</v>
      </c>
      <c r="L71" s="47"/>
      <c r="M71" s="34"/>
      <c r="N71" s="99"/>
    </row>
    <row r="72" spans="1:23">
      <c r="A72" s="227" t="s">
        <v>161</v>
      </c>
      <c r="B72" s="328" t="s">
        <v>159</v>
      </c>
      <c r="C72" s="230">
        <v>3000</v>
      </c>
      <c r="D72" s="248"/>
      <c r="E72" s="233">
        <v>0.4</v>
      </c>
      <c r="F72" s="232">
        <f t="shared" si="10"/>
        <v>1200</v>
      </c>
      <c r="G72" s="232">
        <f>C72+F72</f>
        <v>4200</v>
      </c>
      <c r="H72" s="233">
        <v>0.3</v>
      </c>
      <c r="I72" s="232">
        <f t="shared" si="11"/>
        <v>1260</v>
      </c>
      <c r="J72" s="234">
        <f>G72+I72</f>
        <v>5460</v>
      </c>
      <c r="K72" s="232"/>
      <c r="L72" s="232"/>
      <c r="M72" s="244"/>
      <c r="N72" s="246"/>
    </row>
    <row r="73" spans="1:23">
      <c r="A73" s="227" t="s">
        <v>162</v>
      </c>
      <c r="B73" s="328" t="s">
        <v>197</v>
      </c>
      <c r="C73" s="230">
        <v>600</v>
      </c>
      <c r="D73" s="248"/>
      <c r="E73" s="233">
        <v>0.4</v>
      </c>
      <c r="F73" s="232">
        <f>C73*E73</f>
        <v>240</v>
      </c>
      <c r="G73" s="232">
        <f>C73+F73</f>
        <v>840</v>
      </c>
      <c r="H73" s="233">
        <v>0.3</v>
      </c>
      <c r="I73" s="232">
        <f>H73*(C73+F73)</f>
        <v>252</v>
      </c>
      <c r="J73" s="234">
        <f>G73+I73</f>
        <v>1092</v>
      </c>
      <c r="K73" s="232"/>
      <c r="L73" s="232"/>
      <c r="M73" s="244"/>
      <c r="N73" s="246"/>
    </row>
    <row r="74" spans="1:23">
      <c r="A74" s="10">
        <v>5.2</v>
      </c>
      <c r="B74" s="9" t="s">
        <v>120</v>
      </c>
      <c r="C74" s="50"/>
      <c r="D74" s="51">
        <f>SUM(C75:C76)</f>
        <v>15000</v>
      </c>
      <c r="E74" s="70"/>
      <c r="F74" s="47"/>
      <c r="G74" s="47"/>
      <c r="H74" s="75"/>
      <c r="I74" s="47"/>
      <c r="J74" s="229"/>
      <c r="K74" s="47"/>
      <c r="L74" s="47"/>
      <c r="M74" s="34"/>
      <c r="N74" s="99"/>
    </row>
    <row r="75" spans="1:23">
      <c r="A75" s="10" t="s">
        <v>119</v>
      </c>
      <c r="B75" s="9" t="s">
        <v>225</v>
      </c>
      <c r="C75" s="50">
        <v>0</v>
      </c>
      <c r="D75" s="51"/>
      <c r="E75" s="70">
        <f>$C$112</f>
        <v>0.26</v>
      </c>
      <c r="F75" s="47">
        <f>C75*E75</f>
        <v>0</v>
      </c>
      <c r="G75" s="47"/>
      <c r="H75" s="72">
        <v>0.15</v>
      </c>
      <c r="I75" s="47">
        <f>H75*(C75+F75)</f>
        <v>0</v>
      </c>
      <c r="J75" s="234">
        <f>C75+F75+I75</f>
        <v>0</v>
      </c>
      <c r="K75" s="47"/>
      <c r="L75" s="47"/>
      <c r="M75" s="68"/>
      <c r="N75" s="99"/>
    </row>
    <row r="76" spans="1:23">
      <c r="A76" s="227" t="s">
        <v>122</v>
      </c>
      <c r="B76" s="228" t="s">
        <v>123</v>
      </c>
      <c r="C76" s="230">
        <v>15000</v>
      </c>
      <c r="D76" s="248"/>
      <c r="E76" s="233">
        <v>0.4</v>
      </c>
      <c r="F76" s="232">
        <f>C76*E76</f>
        <v>6000</v>
      </c>
      <c r="G76" s="232">
        <f>C76+F76</f>
        <v>21000</v>
      </c>
      <c r="H76" s="233">
        <v>0.2</v>
      </c>
      <c r="I76" s="232">
        <f>H76*(C76+F76)</f>
        <v>4200</v>
      </c>
      <c r="J76" s="234">
        <f>G76+I76</f>
        <v>25200</v>
      </c>
      <c r="K76" s="232"/>
      <c r="L76" s="232"/>
      <c r="M76" s="240"/>
      <c r="N76" s="246"/>
    </row>
    <row r="77" spans="1:23">
      <c r="A77" s="36"/>
      <c r="B77" s="41" t="s">
        <v>167</v>
      </c>
      <c r="C77" s="61"/>
      <c r="D77" s="53">
        <f>SUM(D69:D76)</f>
        <v>42600</v>
      </c>
      <c r="E77" s="73">
        <f>F77/D77</f>
        <v>0.39014084507042252</v>
      </c>
      <c r="F77" s="53">
        <f>SUM(F69:F76)</f>
        <v>16620</v>
      </c>
      <c r="G77" s="203">
        <f>SUM(G70:G76)</f>
        <v>55440</v>
      </c>
      <c r="H77" s="79">
        <f>I77/(D77+F77)</f>
        <v>0.26453900709219857</v>
      </c>
      <c r="I77" s="53">
        <f>SUM(I69:I76)</f>
        <v>15666</v>
      </c>
      <c r="J77" s="336">
        <f>SUM(J69:J76)</f>
        <v>69972</v>
      </c>
      <c r="K77" s="53">
        <f>SUM(K69:K76)</f>
        <v>4914</v>
      </c>
      <c r="L77" s="53">
        <f>SUM(L69:L76)</f>
        <v>0</v>
      </c>
      <c r="M77" s="42"/>
      <c r="N77" s="40"/>
    </row>
    <row r="78" spans="1:23">
      <c r="A78" s="253">
        <v>7</v>
      </c>
      <c r="B78" s="254" t="s">
        <v>153</v>
      </c>
      <c r="C78" s="255"/>
      <c r="D78" s="256"/>
      <c r="E78" s="257"/>
      <c r="F78" s="258"/>
      <c r="G78" s="258"/>
      <c r="H78" s="259"/>
      <c r="I78" s="258"/>
      <c r="J78" s="337"/>
      <c r="K78" s="258"/>
      <c r="L78" s="258"/>
      <c r="M78" s="260"/>
      <c r="N78" s="261"/>
    </row>
    <row r="79" spans="1:23">
      <c r="A79" s="10">
        <v>7.1</v>
      </c>
      <c r="B79" s="15" t="s">
        <v>227</v>
      </c>
      <c r="C79" s="59"/>
      <c r="D79" s="51">
        <v>5000</v>
      </c>
      <c r="E79" s="76">
        <f>$C$114</f>
        <v>0.26</v>
      </c>
      <c r="F79" s="47">
        <f>D79*E79</f>
        <v>1300</v>
      </c>
      <c r="G79" s="47"/>
      <c r="H79" s="72">
        <v>0.3</v>
      </c>
      <c r="I79" s="47">
        <f>H79*(D79+F79)</f>
        <v>1890</v>
      </c>
      <c r="J79" s="234"/>
      <c r="K79" s="48">
        <f>D79+F79+I79</f>
        <v>8190</v>
      </c>
      <c r="L79" s="48"/>
      <c r="M79" s="30"/>
      <c r="N79" s="106" t="s">
        <v>110</v>
      </c>
    </row>
    <row r="80" spans="1:23">
      <c r="A80" s="10">
        <v>7.2</v>
      </c>
      <c r="B80" s="15" t="s">
        <v>200</v>
      </c>
      <c r="C80" s="59"/>
      <c r="D80" s="51">
        <v>1500</v>
      </c>
      <c r="E80" s="76">
        <f>$C$114</f>
        <v>0.26</v>
      </c>
      <c r="F80" s="47">
        <f>D80*E80</f>
        <v>390</v>
      </c>
      <c r="G80" s="47"/>
      <c r="H80" s="72">
        <v>0.3</v>
      </c>
      <c r="I80" s="47">
        <f>H80*(D80+F80)</f>
        <v>567</v>
      </c>
      <c r="J80" s="234"/>
      <c r="K80" s="48">
        <f>D80+F80+I80</f>
        <v>2457</v>
      </c>
      <c r="L80" s="48"/>
      <c r="M80" s="30"/>
      <c r="N80" s="106"/>
    </row>
    <row r="81" spans="1:23" s="14" customFormat="1">
      <c r="A81" s="227">
        <v>7.3</v>
      </c>
      <c r="B81" s="247" t="s">
        <v>182</v>
      </c>
      <c r="C81" s="243"/>
      <c r="D81" s="248">
        <v>880</v>
      </c>
      <c r="E81" s="249">
        <v>0.4</v>
      </c>
      <c r="F81" s="232">
        <f>D81*E81</f>
        <v>352</v>
      </c>
      <c r="G81" s="232">
        <f>D81+F81</f>
        <v>1232</v>
      </c>
      <c r="H81" s="233">
        <v>0.3</v>
      </c>
      <c r="I81" s="232">
        <f>H81*G81</f>
        <v>369.59999999999997</v>
      </c>
      <c r="J81" s="309">
        <f>D81+F81+I81</f>
        <v>1601.6</v>
      </c>
      <c r="K81" s="234"/>
      <c r="L81" s="234"/>
      <c r="M81" s="245"/>
      <c r="N81" s="246"/>
      <c r="O81" s="13"/>
      <c r="P81" s="13"/>
      <c r="Q81" s="13"/>
      <c r="R81" s="13"/>
      <c r="S81" s="13"/>
      <c r="T81" s="13"/>
      <c r="U81" s="13"/>
      <c r="V81" s="13"/>
      <c r="W81" s="13"/>
    </row>
    <row r="82" spans="1:23">
      <c r="A82" s="36"/>
      <c r="B82" s="41" t="s">
        <v>69</v>
      </c>
      <c r="C82" s="61"/>
      <c r="D82" s="53">
        <f>SUM(D79:D80)</f>
        <v>6500</v>
      </c>
      <c r="E82" s="73">
        <f>F82/D82</f>
        <v>0.26</v>
      </c>
      <c r="F82" s="53">
        <f>SUM(F79:F80)</f>
        <v>1690</v>
      </c>
      <c r="G82" s="203">
        <f>SUM(G81)</f>
        <v>1232</v>
      </c>
      <c r="H82" s="79">
        <f>I82/(D82+F82)</f>
        <v>0.3</v>
      </c>
      <c r="I82" s="53">
        <f>SUM(I79:I80)</f>
        <v>2457</v>
      </c>
      <c r="J82" s="336">
        <f>SUM(J79:J81)</f>
        <v>1601.6</v>
      </c>
      <c r="K82" s="53">
        <f>SUM(K79:K80)</f>
        <v>10647</v>
      </c>
      <c r="L82" s="53">
        <f>SUM(L79:L80)</f>
        <v>0</v>
      </c>
      <c r="M82" s="42"/>
      <c r="N82" s="40"/>
    </row>
    <row r="83" spans="1:23">
      <c r="A83" s="301">
        <v>8</v>
      </c>
      <c r="B83" s="296" t="s">
        <v>228</v>
      </c>
      <c r="C83" s="218"/>
      <c r="D83" s="297"/>
      <c r="E83" s="298"/>
      <c r="F83" s="297"/>
      <c r="G83" s="219"/>
      <c r="H83" s="299"/>
      <c r="I83" s="219"/>
      <c r="J83" s="338"/>
      <c r="K83" s="219"/>
      <c r="L83" s="297"/>
      <c r="M83" s="223"/>
      <c r="N83" s="300"/>
    </row>
    <row r="84" spans="1:23">
      <c r="A84" s="10">
        <v>8.1</v>
      </c>
      <c r="B84" s="295" t="s">
        <v>201</v>
      </c>
      <c r="C84" s="50">
        <v>0</v>
      </c>
      <c r="D84" s="304"/>
      <c r="E84" s="305"/>
      <c r="F84" s="304"/>
      <c r="G84" s="51"/>
      <c r="H84" s="306"/>
      <c r="I84" s="51"/>
      <c r="J84" s="309"/>
      <c r="K84" s="51"/>
      <c r="L84" s="304"/>
      <c r="M84" s="307"/>
      <c r="N84" s="292"/>
    </row>
    <row r="85" spans="1:23">
      <c r="A85" s="227">
        <v>8.1999999999999993</v>
      </c>
      <c r="B85" s="308" t="s">
        <v>203</v>
      </c>
      <c r="C85" s="230">
        <v>6000</v>
      </c>
      <c r="D85" s="309">
        <f>1*6000</f>
        <v>6000</v>
      </c>
      <c r="E85" s="310">
        <v>0.4</v>
      </c>
      <c r="F85" s="309">
        <f>D85*E85</f>
        <v>2400</v>
      </c>
      <c r="G85" s="248">
        <f>D85+F85</f>
        <v>8400</v>
      </c>
      <c r="H85" s="311">
        <v>0.3</v>
      </c>
      <c r="I85" s="248">
        <f>G85*H85</f>
        <v>2520</v>
      </c>
      <c r="J85" s="309">
        <f>D85+F85+I85</f>
        <v>10920</v>
      </c>
      <c r="K85" s="248"/>
      <c r="L85" s="309"/>
      <c r="M85" s="312"/>
      <c r="N85" s="327"/>
    </row>
    <row r="86" spans="1:23">
      <c r="A86" s="10">
        <v>8.3000000000000007</v>
      </c>
      <c r="B86" s="295" t="s">
        <v>202</v>
      </c>
      <c r="C86" s="50"/>
      <c r="D86" s="304"/>
      <c r="E86" s="305"/>
      <c r="F86" s="304"/>
      <c r="G86" s="51"/>
      <c r="H86" s="306"/>
      <c r="I86" s="51"/>
      <c r="J86" s="309"/>
      <c r="K86" s="51"/>
      <c r="L86" s="304"/>
      <c r="M86" s="307"/>
      <c r="N86" s="302" t="s">
        <v>215</v>
      </c>
    </row>
    <row r="87" spans="1:23">
      <c r="A87" s="10">
        <v>8.4</v>
      </c>
      <c r="B87" s="295" t="s">
        <v>229</v>
      </c>
      <c r="C87" s="50"/>
      <c r="D87" s="304"/>
      <c r="E87" s="305"/>
      <c r="F87" s="304"/>
      <c r="G87" s="51"/>
      <c r="H87" s="306"/>
      <c r="I87" s="51"/>
      <c r="J87" s="309"/>
      <c r="K87" s="51"/>
      <c r="L87" s="304"/>
      <c r="M87" s="307"/>
      <c r="N87" s="302"/>
    </row>
    <row r="88" spans="1:23">
      <c r="A88" s="227" t="s">
        <v>230</v>
      </c>
      <c r="B88" s="308" t="s">
        <v>236</v>
      </c>
      <c r="C88" s="230">
        <v>880</v>
      </c>
      <c r="D88" s="309">
        <v>880</v>
      </c>
      <c r="E88" s="310">
        <v>0.4</v>
      </c>
      <c r="F88" s="309">
        <f>D88*E88</f>
        <v>352</v>
      </c>
      <c r="G88" s="248">
        <f>D88+F88</f>
        <v>1232</v>
      </c>
      <c r="H88" s="311">
        <v>0.3</v>
      </c>
      <c r="I88" s="248">
        <f>G88*H88</f>
        <v>369.59999999999997</v>
      </c>
      <c r="J88" s="309">
        <f>G88+I88</f>
        <v>1601.6</v>
      </c>
      <c r="K88" s="248"/>
      <c r="L88" s="309"/>
      <c r="M88" s="312"/>
      <c r="N88" s="236"/>
    </row>
    <row r="89" spans="1:23">
      <c r="A89" s="315" t="s">
        <v>231</v>
      </c>
      <c r="B89" s="316" t="s">
        <v>232</v>
      </c>
      <c r="C89" s="317">
        <v>880</v>
      </c>
      <c r="D89" s="318">
        <v>880</v>
      </c>
      <c r="E89" s="319">
        <v>0.4</v>
      </c>
      <c r="F89" s="318">
        <f>D89*E89</f>
        <v>352</v>
      </c>
      <c r="G89" s="320">
        <f>D89+F89</f>
        <v>1232</v>
      </c>
      <c r="H89" s="321">
        <v>0.3</v>
      </c>
      <c r="I89" s="320">
        <f>H89*G89</f>
        <v>369.59999999999997</v>
      </c>
      <c r="J89" s="318">
        <f>G89+I89</f>
        <v>1601.6</v>
      </c>
      <c r="K89" s="320"/>
      <c r="L89" s="318"/>
      <c r="M89" s="322"/>
      <c r="N89" s="323"/>
    </row>
    <row r="90" spans="1:23">
      <c r="A90" s="251"/>
      <c r="B90" s="288" t="s">
        <v>251</v>
      </c>
      <c r="C90" s="208"/>
      <c r="D90" s="289">
        <f>SUM(D85:D89)</f>
        <v>7760</v>
      </c>
      <c r="E90" s="291">
        <v>0</v>
      </c>
      <c r="F90" s="289">
        <f>SUM(F85:F89)</f>
        <v>3104</v>
      </c>
      <c r="G90" s="209">
        <f>SUM(G85:G89)</f>
        <v>10864</v>
      </c>
      <c r="H90" s="290">
        <v>0</v>
      </c>
      <c r="I90" s="209">
        <f>SUM(I85:I89)</f>
        <v>3259.2</v>
      </c>
      <c r="J90" s="339">
        <f>SUM(J85:J89)</f>
        <v>14123.2</v>
      </c>
      <c r="K90" s="209"/>
      <c r="L90" s="289"/>
      <c r="M90" s="213"/>
      <c r="N90" s="293"/>
    </row>
    <row r="91" spans="1:23" s="14" customFormat="1">
      <c r="A91" s="279">
        <v>9</v>
      </c>
      <c r="B91" s="280" t="s">
        <v>184</v>
      </c>
      <c r="C91" s="281"/>
      <c r="D91" s="282"/>
      <c r="E91" s="283"/>
      <c r="F91" s="284"/>
      <c r="G91" s="284"/>
      <c r="H91" s="285"/>
      <c r="I91" s="284"/>
      <c r="J91" s="337"/>
      <c r="K91" s="284"/>
      <c r="L91" s="284"/>
      <c r="M91" s="286"/>
      <c r="N91" s="287"/>
      <c r="O91" s="13"/>
      <c r="P91" s="13"/>
      <c r="Q91" s="13"/>
      <c r="R91" s="13"/>
      <c r="S91" s="13"/>
      <c r="T91" s="13"/>
      <c r="U91" s="13"/>
      <c r="V91" s="13"/>
      <c r="W91" s="13"/>
    </row>
    <row r="92" spans="1:23" s="14" customFormat="1">
      <c r="A92" s="227">
        <v>9.1</v>
      </c>
      <c r="B92" s="247" t="s">
        <v>183</v>
      </c>
      <c r="C92" s="243"/>
      <c r="D92" s="248">
        <v>6000</v>
      </c>
      <c r="E92" s="249">
        <v>0.4</v>
      </c>
      <c r="F92" s="234">
        <f t="shared" ref="F92:F97" si="13">D92*E92</f>
        <v>2400</v>
      </c>
      <c r="G92" s="234">
        <f t="shared" ref="G92:G97" si="14">D92+F92</f>
        <v>8400</v>
      </c>
      <c r="H92" s="241">
        <v>0.3</v>
      </c>
      <c r="I92" s="234">
        <f t="shared" ref="I92:I97" si="15">H92*G92</f>
        <v>2520</v>
      </c>
      <c r="J92" s="248">
        <f t="shared" ref="J92:J98" si="16">G92+I92</f>
        <v>10920</v>
      </c>
      <c r="K92" s="234"/>
      <c r="L92" s="234"/>
      <c r="M92" s="245"/>
      <c r="N92" s="246"/>
      <c r="O92" s="13"/>
      <c r="P92" s="13"/>
      <c r="Q92" s="13"/>
      <c r="R92" s="13"/>
      <c r="S92" s="13"/>
      <c r="T92" s="13"/>
      <c r="U92" s="13"/>
      <c r="V92" s="13"/>
      <c r="W92" s="13"/>
    </row>
    <row r="93" spans="1:23" s="14" customFormat="1">
      <c r="A93" s="227">
        <v>9.1999999999999993</v>
      </c>
      <c r="B93" s="247" t="s">
        <v>233</v>
      </c>
      <c r="C93" s="243"/>
      <c r="D93" s="248">
        <v>4400</v>
      </c>
      <c r="E93" s="249">
        <v>0.4</v>
      </c>
      <c r="F93" s="234">
        <f t="shared" si="13"/>
        <v>1760</v>
      </c>
      <c r="G93" s="234">
        <f t="shared" si="14"/>
        <v>6160</v>
      </c>
      <c r="H93" s="241">
        <v>0.3</v>
      </c>
      <c r="I93" s="234">
        <f t="shared" si="15"/>
        <v>1848</v>
      </c>
      <c r="J93" s="248">
        <f t="shared" si="16"/>
        <v>8008</v>
      </c>
      <c r="K93" s="234"/>
      <c r="L93" s="234"/>
      <c r="M93" s="245"/>
      <c r="N93" s="246"/>
      <c r="O93" s="13"/>
      <c r="P93" s="13"/>
      <c r="Q93" s="13"/>
      <c r="R93" s="13"/>
      <c r="S93" s="13"/>
      <c r="T93" s="13"/>
      <c r="U93" s="13"/>
      <c r="V93" s="13"/>
      <c r="W93" s="13"/>
    </row>
    <row r="94" spans="1:23" s="14" customFormat="1">
      <c r="A94" s="227">
        <v>9.3000000000000007</v>
      </c>
      <c r="B94" s="247" t="s">
        <v>185</v>
      </c>
      <c r="C94" s="243"/>
      <c r="D94" s="248">
        <v>3000</v>
      </c>
      <c r="E94" s="249">
        <v>0.4</v>
      </c>
      <c r="F94" s="234">
        <f t="shared" si="13"/>
        <v>1200</v>
      </c>
      <c r="G94" s="234">
        <f t="shared" si="14"/>
        <v>4200</v>
      </c>
      <c r="H94" s="241">
        <v>0.3</v>
      </c>
      <c r="I94" s="234">
        <f t="shared" si="15"/>
        <v>1260</v>
      </c>
      <c r="J94" s="248">
        <f t="shared" si="16"/>
        <v>5460</v>
      </c>
      <c r="K94" s="234"/>
      <c r="L94" s="234"/>
      <c r="M94" s="245"/>
      <c r="N94" s="246"/>
      <c r="O94" s="13"/>
      <c r="P94" s="13"/>
      <c r="Q94" s="13"/>
      <c r="R94" s="13"/>
      <c r="S94" s="13"/>
      <c r="T94" s="13"/>
      <c r="U94" s="13"/>
      <c r="V94" s="13"/>
      <c r="W94" s="13"/>
    </row>
    <row r="95" spans="1:23" s="14" customFormat="1">
      <c r="A95" s="227">
        <v>9.4</v>
      </c>
      <c r="B95" s="247" t="s">
        <v>234</v>
      </c>
      <c r="C95" s="243"/>
      <c r="D95" s="248">
        <v>6000</v>
      </c>
      <c r="E95" s="249">
        <v>0.4</v>
      </c>
      <c r="F95" s="234">
        <f t="shared" si="13"/>
        <v>2400</v>
      </c>
      <c r="G95" s="234">
        <f t="shared" si="14"/>
        <v>8400</v>
      </c>
      <c r="H95" s="241">
        <v>0.3</v>
      </c>
      <c r="I95" s="234">
        <f t="shared" si="15"/>
        <v>2520</v>
      </c>
      <c r="J95" s="248">
        <f t="shared" si="16"/>
        <v>10920</v>
      </c>
      <c r="K95" s="234"/>
      <c r="L95" s="234"/>
      <c r="M95" s="245"/>
      <c r="N95" s="246"/>
      <c r="O95" s="13"/>
      <c r="P95" s="13"/>
      <c r="Q95" s="13"/>
      <c r="R95" s="13"/>
      <c r="S95" s="13"/>
      <c r="T95" s="13"/>
      <c r="U95" s="13"/>
      <c r="V95" s="13"/>
      <c r="W95" s="13"/>
    </row>
    <row r="96" spans="1:23" s="14" customFormat="1">
      <c r="A96" s="227">
        <v>9.5</v>
      </c>
      <c r="B96" s="247" t="s">
        <v>186</v>
      </c>
      <c r="C96" s="243"/>
      <c r="D96" s="248">
        <v>2400</v>
      </c>
      <c r="E96" s="249">
        <v>0.4</v>
      </c>
      <c r="F96" s="234">
        <f t="shared" si="13"/>
        <v>960</v>
      </c>
      <c r="G96" s="234">
        <f t="shared" si="14"/>
        <v>3360</v>
      </c>
      <c r="H96" s="241">
        <v>0.3</v>
      </c>
      <c r="I96" s="234">
        <f t="shared" si="15"/>
        <v>1008</v>
      </c>
      <c r="J96" s="248">
        <f t="shared" si="16"/>
        <v>4368</v>
      </c>
      <c r="K96" s="234"/>
      <c r="L96" s="234"/>
      <c r="M96" s="245"/>
      <c r="N96" s="246"/>
      <c r="O96" s="13"/>
      <c r="P96" s="13"/>
      <c r="Q96" s="13"/>
      <c r="R96" s="13"/>
      <c r="S96" s="13"/>
      <c r="T96" s="13"/>
      <c r="U96" s="13"/>
      <c r="V96" s="13"/>
      <c r="W96" s="13"/>
    </row>
    <row r="97" spans="1:23" s="14" customFormat="1">
      <c r="A97" s="315">
        <v>9.6</v>
      </c>
      <c r="B97" s="316" t="s">
        <v>235</v>
      </c>
      <c r="C97" s="324"/>
      <c r="D97" s="318">
        <v>3500</v>
      </c>
      <c r="E97" s="319">
        <v>0.4</v>
      </c>
      <c r="F97" s="318">
        <f t="shared" si="13"/>
        <v>1400</v>
      </c>
      <c r="G97" s="320">
        <f t="shared" si="14"/>
        <v>4900</v>
      </c>
      <c r="H97" s="321">
        <v>0.3</v>
      </c>
      <c r="I97" s="320">
        <f t="shared" si="15"/>
        <v>1470</v>
      </c>
      <c r="J97" s="318">
        <f t="shared" si="16"/>
        <v>6370</v>
      </c>
      <c r="K97" s="320"/>
      <c r="L97" s="318"/>
      <c r="M97" s="325"/>
      <c r="N97" s="326"/>
      <c r="O97" s="13"/>
      <c r="P97" s="13"/>
      <c r="Q97" s="13"/>
      <c r="R97" s="13"/>
      <c r="S97" s="13"/>
      <c r="T97" s="13"/>
      <c r="U97" s="13"/>
      <c r="V97" s="13"/>
      <c r="W97" s="13"/>
    </row>
    <row r="98" spans="1:23">
      <c r="A98" s="206"/>
      <c r="B98" s="207" t="s">
        <v>250</v>
      </c>
      <c r="C98" s="208"/>
      <c r="D98" s="209">
        <f>SUM(D92:D97)</f>
        <v>25300</v>
      </c>
      <c r="E98" s="210">
        <f>F98/D98</f>
        <v>0.4</v>
      </c>
      <c r="F98" s="211">
        <f>SUM(F92:F97)</f>
        <v>10120</v>
      </c>
      <c r="G98" s="211">
        <f>SUM(G92:G97)</f>
        <v>35420</v>
      </c>
      <c r="H98" s="212">
        <f>I98/G98</f>
        <v>0.3</v>
      </c>
      <c r="I98" s="211">
        <f>SUM(I92:I97)</f>
        <v>10626</v>
      </c>
      <c r="J98" s="337">
        <f t="shared" si="16"/>
        <v>46046</v>
      </c>
      <c r="K98" s="211"/>
      <c r="L98" s="211"/>
      <c r="M98" s="213"/>
      <c r="N98" s="214"/>
    </row>
    <row r="99" spans="1:23">
      <c r="A99" s="262">
        <v>10</v>
      </c>
      <c r="B99" s="120" t="s">
        <v>174</v>
      </c>
      <c r="C99" s="263"/>
      <c r="D99" s="264"/>
      <c r="E99" s="265"/>
      <c r="F99" s="266"/>
      <c r="G99" s="266"/>
      <c r="H99" s="267"/>
      <c r="I99" s="266"/>
      <c r="J99" s="340"/>
      <c r="K99" s="266"/>
      <c r="L99" s="266"/>
      <c r="M99" s="268"/>
      <c r="N99" s="269"/>
    </row>
    <row r="100" spans="1:23" s="252" customFormat="1">
      <c r="A100" s="227">
        <v>10.1</v>
      </c>
      <c r="B100" s="227" t="s">
        <v>237</v>
      </c>
      <c r="C100" s="243"/>
      <c r="D100" s="248">
        <v>880</v>
      </c>
      <c r="E100" s="231">
        <v>0.4</v>
      </c>
      <c r="F100" s="232">
        <f>D100*E100</f>
        <v>352</v>
      </c>
      <c r="G100" s="232">
        <f>D100+F100</f>
        <v>1232</v>
      </c>
      <c r="H100" s="233">
        <v>0.3</v>
      </c>
      <c r="I100" s="232">
        <f>H100*G100</f>
        <v>369.59999999999997</v>
      </c>
      <c r="J100" s="234">
        <f>D100+F100+I100</f>
        <v>1601.6</v>
      </c>
      <c r="K100" s="229"/>
      <c r="L100" s="229"/>
      <c r="M100" s="245"/>
      <c r="N100" s="237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s="252" customFormat="1">
      <c r="A101" s="227">
        <v>10.199999999999999</v>
      </c>
      <c r="B101" s="227" t="s">
        <v>238</v>
      </c>
      <c r="C101" s="243"/>
      <c r="D101" s="248">
        <v>1760</v>
      </c>
      <c r="E101" s="231">
        <v>0.4</v>
      </c>
      <c r="F101" s="232">
        <f>D101*E101</f>
        <v>704</v>
      </c>
      <c r="G101" s="232">
        <f>D101+F101</f>
        <v>2464</v>
      </c>
      <c r="H101" s="233">
        <v>0.3</v>
      </c>
      <c r="I101" s="329">
        <f>G101*H101</f>
        <v>739.19999999999993</v>
      </c>
      <c r="J101" s="234">
        <f>G101+I101</f>
        <v>3203.2</v>
      </c>
      <c r="K101" s="229"/>
      <c r="L101" s="229"/>
      <c r="M101" s="245"/>
      <c r="N101" s="237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 s="252" customFormat="1">
      <c r="A102" s="227">
        <v>10.3</v>
      </c>
      <c r="B102" s="227" t="s">
        <v>239</v>
      </c>
      <c r="C102" s="243"/>
      <c r="D102" s="248">
        <v>1760</v>
      </c>
      <c r="E102" s="231">
        <v>0.4</v>
      </c>
      <c r="F102" s="232">
        <f>D102*E102</f>
        <v>704</v>
      </c>
      <c r="G102" s="232">
        <f>D102+F102</f>
        <v>2464</v>
      </c>
      <c r="H102" s="233">
        <v>0.3</v>
      </c>
      <c r="I102" s="232">
        <f>G102*H102</f>
        <v>739.19999999999993</v>
      </c>
      <c r="J102" s="234">
        <f>G102+I102</f>
        <v>3203.2</v>
      </c>
      <c r="K102" s="229"/>
      <c r="L102" s="229"/>
      <c r="M102" s="245"/>
      <c r="N102" s="237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1:23">
      <c r="A103" s="36"/>
      <c r="B103" s="294" t="s">
        <v>181</v>
      </c>
      <c r="C103" s="61"/>
      <c r="D103" s="53">
        <f>SUM(D100:D102)</f>
        <v>4400</v>
      </c>
      <c r="E103" s="73">
        <f>F103/D103</f>
        <v>0.4</v>
      </c>
      <c r="F103" s="53">
        <f>SUM(F100:F102)</f>
        <v>1760</v>
      </c>
      <c r="G103" s="53">
        <f>SUM(G100:G102)</f>
        <v>6160</v>
      </c>
      <c r="H103" s="79"/>
      <c r="I103" s="53">
        <f>SUM(I100:I102)</f>
        <v>1848</v>
      </c>
      <c r="J103" s="336">
        <f>SUM(J100:J102)</f>
        <v>8007.9999999999991</v>
      </c>
      <c r="K103" s="53">
        <f>SUM(K100:K100)</f>
        <v>0</v>
      </c>
      <c r="L103" s="53">
        <f>SUM(L100:L100)</f>
        <v>0</v>
      </c>
      <c r="M103" s="42"/>
      <c r="N103" s="40"/>
    </row>
    <row r="104" spans="1:23">
      <c r="A104" s="81"/>
      <c r="B104" s="43" t="s">
        <v>168</v>
      </c>
      <c r="C104" s="67"/>
      <c r="D104" s="313">
        <f>D15+D27+D33+D60+D67+D77+D82+D90+D98+D103</f>
        <v>254098.46153846156</v>
      </c>
      <c r="E104" s="314"/>
      <c r="F104" s="313">
        <f>F15+F27+F33+F60+F67+F77+F82+F90+F98+F103</f>
        <v>53642</v>
      </c>
      <c r="G104" s="313">
        <f>G15+G27+G33+G60+G67+G77+G82+G90+G98+G103</f>
        <v>113834</v>
      </c>
      <c r="H104" s="314"/>
      <c r="I104" s="313">
        <f>I15+I27+I33+I60+I67+I77+I82+I90+I98+I103</f>
        <v>89622.13846153846</v>
      </c>
      <c r="J104" s="341">
        <f>J15+J27+J60+J67+J77+J82+J90+J98+J103</f>
        <v>163993.20000000001</v>
      </c>
      <c r="K104" s="313">
        <f>K15+K27+K33+K60+K67+K77+K82+K90+K98+K103</f>
        <v>233369.4</v>
      </c>
      <c r="L104" s="313">
        <f>L15+L27+L33+L60+L67+L77+L82+L90+L98+L103</f>
        <v>151500</v>
      </c>
      <c r="M104" s="33"/>
      <c r="N104" s="23"/>
    </row>
    <row r="105" spans="1:23" ht="15">
      <c r="A105" s="19"/>
      <c r="B105" s="19"/>
      <c r="C105" s="19"/>
      <c r="D105" s="20"/>
      <c r="E105" s="20"/>
      <c r="F105" s="21"/>
      <c r="G105" s="21"/>
      <c r="H105" s="21"/>
      <c r="I105" s="21"/>
      <c r="J105" s="21"/>
      <c r="K105" s="21"/>
      <c r="L105" s="21"/>
      <c r="M105" s="21"/>
    </row>
    <row r="106" spans="1:23">
      <c r="B106" s="22"/>
      <c r="C106" s="22"/>
    </row>
    <row r="107" spans="1:23">
      <c r="B107" s="3" t="s">
        <v>58</v>
      </c>
      <c r="C107" s="78">
        <v>0.2</v>
      </c>
    </row>
    <row r="108" spans="1:23">
      <c r="B108" s="3" t="s">
        <v>55</v>
      </c>
      <c r="C108" s="78">
        <v>0.4</v>
      </c>
    </row>
    <row r="109" spans="1:23">
      <c r="B109" s="3" t="s">
        <v>56</v>
      </c>
      <c r="C109" s="78">
        <v>0.4</v>
      </c>
    </row>
    <row r="110" spans="1:23">
      <c r="B110" s="3" t="s">
        <v>59</v>
      </c>
      <c r="C110" s="78">
        <v>0.26</v>
      </c>
    </row>
    <row r="111" spans="1:23">
      <c r="B111" s="69" t="s">
        <v>149</v>
      </c>
      <c r="C111" s="78">
        <v>0</v>
      </c>
    </row>
    <row r="112" spans="1:23">
      <c r="B112" s="3" t="s">
        <v>150</v>
      </c>
      <c r="C112" s="78">
        <v>0.26</v>
      </c>
    </row>
    <row r="113" spans="2:23">
      <c r="B113" s="3" t="s">
        <v>57</v>
      </c>
      <c r="C113" s="78">
        <v>0</v>
      </c>
    </row>
    <row r="114" spans="2:23">
      <c r="B114" s="3" t="s">
        <v>66</v>
      </c>
      <c r="C114" s="78">
        <v>0.26</v>
      </c>
    </row>
    <row r="116" spans="2:23" ht="12">
      <c r="O116" s="3"/>
      <c r="P116" s="3"/>
      <c r="Q116" s="3"/>
      <c r="R116" s="3"/>
      <c r="S116" s="3"/>
      <c r="T116" s="3"/>
      <c r="U116" s="3"/>
      <c r="V116" s="3"/>
      <c r="W116" s="3"/>
    </row>
  </sheetData>
  <mergeCells count="2">
    <mergeCell ref="E3:F3"/>
    <mergeCell ref="H3:I3"/>
  </mergeCells>
  <phoneticPr fontId="1" type="noConversion"/>
  <pageMargins left="0.75" right="0.75" top="1" bottom="1" header="0.5" footer="0.5"/>
  <pageSetup paperSize="9" scale="61" fitToHeight="3" orientation="landscape" horizontalDpi="1200" verticalDpi="120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workbookViewId="0">
      <selection activeCell="T70" sqref="T70"/>
    </sheetView>
  </sheetViews>
  <sheetFormatPr baseColWidth="10" defaultColWidth="12" defaultRowHeight="14" x14ac:dyDescent="0"/>
  <cols>
    <col min="1" max="1" width="6.83203125" style="3" customWidth="1"/>
    <col min="2" max="2" width="47.83203125" style="3" customWidth="1"/>
    <col min="3" max="18" width="3" style="3" customWidth="1"/>
    <col min="19" max="19" width="12.1640625" style="164" customWidth="1"/>
    <col min="20" max="27" width="10" style="182" customWidth="1"/>
    <col min="28" max="16384" width="12" style="3"/>
  </cols>
  <sheetData>
    <row r="1" spans="1:27" ht="17" thickBot="1">
      <c r="A1" s="1"/>
      <c r="B1" s="83" t="s">
        <v>70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3" t="s">
        <v>29</v>
      </c>
      <c r="U1" s="83"/>
      <c r="V1" s="83"/>
      <c r="W1" s="83"/>
      <c r="X1" s="83"/>
      <c r="Y1" s="83"/>
      <c r="Z1" s="83"/>
      <c r="AA1" s="83"/>
    </row>
    <row r="2" spans="1:27" ht="14" customHeight="1">
      <c r="A2" s="4"/>
      <c r="B2" s="4"/>
      <c r="C2" s="125" t="s">
        <v>2</v>
      </c>
      <c r="D2" s="127"/>
      <c r="E2" s="133" t="s">
        <v>3</v>
      </c>
      <c r="F2" s="126"/>
      <c r="G2" s="126"/>
      <c r="H2" s="127"/>
      <c r="I2" s="133" t="s">
        <v>4</v>
      </c>
      <c r="J2" s="126"/>
      <c r="K2" s="126"/>
      <c r="L2" s="127"/>
      <c r="M2" s="133" t="s">
        <v>5</v>
      </c>
      <c r="N2" s="126"/>
      <c r="O2" s="126"/>
      <c r="P2" s="127"/>
      <c r="Q2" s="133" t="s">
        <v>6</v>
      </c>
      <c r="R2" s="127"/>
      <c r="T2" s="192" t="s">
        <v>23</v>
      </c>
      <c r="U2" s="193"/>
      <c r="V2" s="192" t="s">
        <v>26</v>
      </c>
      <c r="W2" s="193"/>
      <c r="X2" s="192" t="s">
        <v>27</v>
      </c>
      <c r="Y2" s="193"/>
      <c r="Z2" s="192" t="s">
        <v>28</v>
      </c>
      <c r="AA2" s="193"/>
    </row>
    <row r="3" spans="1:27" ht="15" thickBot="1">
      <c r="A3" s="6"/>
      <c r="B3" s="109" t="s">
        <v>169</v>
      </c>
      <c r="C3" s="128">
        <v>3</v>
      </c>
      <c r="D3" s="130">
        <v>4</v>
      </c>
      <c r="E3" s="134">
        <v>1</v>
      </c>
      <c r="F3" s="129">
        <v>2</v>
      </c>
      <c r="G3" s="129">
        <v>3</v>
      </c>
      <c r="H3" s="130">
        <v>4</v>
      </c>
      <c r="I3" s="134">
        <v>1</v>
      </c>
      <c r="J3" s="129">
        <v>2</v>
      </c>
      <c r="K3" s="129">
        <v>3</v>
      </c>
      <c r="L3" s="130">
        <v>4</v>
      </c>
      <c r="M3" s="134">
        <v>1</v>
      </c>
      <c r="N3" s="129">
        <v>2</v>
      </c>
      <c r="O3" s="129">
        <v>3</v>
      </c>
      <c r="P3" s="130">
        <v>4</v>
      </c>
      <c r="Q3" s="134">
        <v>1</v>
      </c>
      <c r="R3" s="130">
        <v>2</v>
      </c>
      <c r="T3" s="190" t="s">
        <v>24</v>
      </c>
      <c r="U3" s="191" t="s">
        <v>25</v>
      </c>
      <c r="V3" s="190" t="s">
        <v>24</v>
      </c>
      <c r="W3" s="191" t="s">
        <v>25</v>
      </c>
      <c r="X3" s="190" t="s">
        <v>24</v>
      </c>
      <c r="Y3" s="191" t="s">
        <v>25</v>
      </c>
      <c r="Z3" s="190" t="s">
        <v>24</v>
      </c>
      <c r="AA3" s="191" t="s">
        <v>25</v>
      </c>
    </row>
    <row r="4" spans="1:27">
      <c r="A4" s="44">
        <v>1</v>
      </c>
      <c r="B4" s="110" t="s">
        <v>136</v>
      </c>
      <c r="C4" s="131"/>
      <c r="D4" s="132"/>
      <c r="E4" s="131"/>
      <c r="F4" s="158"/>
      <c r="G4" s="158"/>
      <c r="H4" s="132"/>
      <c r="I4" s="131"/>
      <c r="J4" s="158"/>
      <c r="K4" s="158"/>
      <c r="L4" s="132"/>
      <c r="M4" s="131"/>
      <c r="N4" s="158"/>
      <c r="O4" s="158"/>
      <c r="P4" s="132"/>
      <c r="Q4" s="131"/>
      <c r="R4" s="132"/>
      <c r="T4" s="173"/>
      <c r="U4" s="174"/>
      <c r="V4" s="173"/>
      <c r="W4" s="174"/>
      <c r="X4" s="173"/>
      <c r="Y4" s="174"/>
      <c r="Z4" s="173"/>
      <c r="AA4" s="174"/>
    </row>
    <row r="5" spans="1:27">
      <c r="A5" s="10">
        <v>1.1000000000000001</v>
      </c>
      <c r="B5" s="88" t="s">
        <v>137</v>
      </c>
      <c r="C5" s="122"/>
      <c r="D5" s="123"/>
      <c r="E5" s="137"/>
      <c r="F5" s="87"/>
      <c r="G5" s="121"/>
      <c r="H5" s="159"/>
      <c r="I5" s="124"/>
      <c r="J5" s="87"/>
      <c r="K5" s="87"/>
      <c r="L5" s="123"/>
      <c r="M5" s="122"/>
      <c r="N5" s="87"/>
      <c r="O5" s="87"/>
      <c r="P5" s="123"/>
      <c r="Q5" s="137"/>
      <c r="R5" s="123"/>
      <c r="T5" s="169"/>
      <c r="U5" s="170"/>
      <c r="V5" s="169" t="e">
        <f>Budget!#REF!</f>
        <v>#REF!</v>
      </c>
      <c r="W5" s="170" t="e">
        <f>Budget!#REF!</f>
        <v>#REF!</v>
      </c>
      <c r="X5" s="169"/>
      <c r="Y5" s="170"/>
      <c r="Z5" s="169"/>
      <c r="AA5" s="170"/>
    </row>
    <row r="6" spans="1:27">
      <c r="A6" s="10">
        <v>1.2</v>
      </c>
      <c r="B6" s="88" t="s">
        <v>152</v>
      </c>
      <c r="C6" s="137"/>
      <c r="D6" s="123"/>
      <c r="E6" s="137"/>
      <c r="F6" s="87"/>
      <c r="G6" s="121"/>
      <c r="H6" s="159"/>
      <c r="I6" s="160"/>
      <c r="J6" s="87"/>
      <c r="K6" s="87"/>
      <c r="L6" s="123"/>
      <c r="M6" s="137"/>
      <c r="N6" s="87"/>
      <c r="O6" s="87"/>
      <c r="P6" s="123"/>
      <c r="Q6" s="137"/>
      <c r="R6" s="123"/>
      <c r="T6" s="169"/>
      <c r="U6" s="170"/>
      <c r="V6" s="169">
        <f>Budget!$J5</f>
        <v>0</v>
      </c>
      <c r="W6" s="170">
        <f>Budget!$K5</f>
        <v>0</v>
      </c>
      <c r="X6" s="169"/>
      <c r="Y6" s="170"/>
      <c r="Z6" s="169"/>
      <c r="AA6" s="170"/>
    </row>
    <row r="7" spans="1:27">
      <c r="A7" s="10">
        <v>1.3</v>
      </c>
      <c r="B7" s="88" t="s">
        <v>62</v>
      </c>
      <c r="C7" s="137"/>
      <c r="D7" s="123"/>
      <c r="E7" s="137"/>
      <c r="F7" s="87"/>
      <c r="G7" s="87"/>
      <c r="H7" s="123"/>
      <c r="I7" s="137"/>
      <c r="J7" s="87"/>
      <c r="K7" s="121"/>
      <c r="L7" s="123"/>
      <c r="M7" s="137"/>
      <c r="N7" s="87"/>
      <c r="O7" s="87"/>
      <c r="P7" s="121"/>
      <c r="Q7" s="137"/>
      <c r="R7" s="123"/>
      <c r="T7" s="169"/>
      <c r="U7" s="170"/>
      <c r="V7" s="169"/>
      <c r="W7" s="170"/>
      <c r="X7" s="169">
        <f>Budget!$J11</f>
        <v>0</v>
      </c>
      <c r="Y7" s="170">
        <f>Budget!$K11</f>
        <v>0</v>
      </c>
      <c r="Z7" s="169"/>
      <c r="AA7" s="170"/>
    </row>
    <row r="8" spans="1:27">
      <c r="A8" s="10">
        <v>1.4</v>
      </c>
      <c r="B8" s="88" t="s">
        <v>61</v>
      </c>
      <c r="C8" s="137"/>
      <c r="D8" s="123"/>
      <c r="E8" s="137"/>
      <c r="F8" s="87"/>
      <c r="G8" s="87"/>
      <c r="H8" s="123"/>
      <c r="I8" s="137"/>
      <c r="J8" s="87"/>
      <c r="K8" s="121"/>
      <c r="L8" s="123"/>
      <c r="M8" s="137"/>
      <c r="N8" s="87"/>
      <c r="O8" s="87"/>
      <c r="P8" s="123"/>
      <c r="Q8" s="137"/>
      <c r="R8" s="123"/>
      <c r="T8" s="169"/>
      <c r="U8" s="170"/>
      <c r="V8" s="169"/>
      <c r="W8" s="170"/>
      <c r="X8" s="169">
        <f>Budget!$J14</f>
        <v>1601.6</v>
      </c>
      <c r="Y8" s="170">
        <f>Budget!$K14</f>
        <v>0</v>
      </c>
      <c r="Z8" s="169"/>
      <c r="AA8" s="170"/>
    </row>
    <row r="9" spans="1:27">
      <c r="A9" s="36"/>
      <c r="B9" s="111" t="s">
        <v>39</v>
      </c>
      <c r="C9" s="138"/>
      <c r="D9" s="139"/>
      <c r="E9" s="138"/>
      <c r="F9" s="35"/>
      <c r="G9" s="35"/>
      <c r="H9" s="139"/>
      <c r="I9" s="138"/>
      <c r="J9" s="35"/>
      <c r="K9" s="35" t="s">
        <v>41</v>
      </c>
      <c r="L9" s="139"/>
      <c r="M9" s="138"/>
      <c r="N9" s="35"/>
      <c r="O9" s="35"/>
      <c r="P9" s="139" t="s">
        <v>42</v>
      </c>
      <c r="Q9" s="138"/>
      <c r="R9" s="139"/>
      <c r="S9" s="165" t="s">
        <v>30</v>
      </c>
      <c r="T9" s="171">
        <f>SUM(T5:T8)</f>
        <v>0</v>
      </c>
      <c r="U9" s="172">
        <f>SUM(T5:T8)</f>
        <v>0</v>
      </c>
      <c r="V9" s="171" t="e">
        <f t="shared" ref="V9" si="0">SUM(V5:V8)</f>
        <v>#REF!</v>
      </c>
      <c r="W9" s="172" t="e">
        <f t="shared" ref="W9" si="1">SUM(W5:W8)</f>
        <v>#REF!</v>
      </c>
      <c r="X9" s="171">
        <f t="shared" ref="X9" si="2">SUM(X5:X8)</f>
        <v>1601.6</v>
      </c>
      <c r="Y9" s="172">
        <f t="shared" ref="Y9" si="3">SUM(Y5:Y8)</f>
        <v>0</v>
      </c>
      <c r="Z9" s="171">
        <f t="shared" ref="Z9" si="4">SUM(Z5:Z8)</f>
        <v>0</v>
      </c>
      <c r="AA9" s="172">
        <f t="shared" ref="AA9" si="5">SUM(AA5:AA8)</f>
        <v>0</v>
      </c>
    </row>
    <row r="10" spans="1:27">
      <c r="A10" s="45">
        <v>2</v>
      </c>
      <c r="B10" s="89" t="s">
        <v>138</v>
      </c>
      <c r="C10" s="140"/>
      <c r="D10" s="141"/>
      <c r="E10" s="140"/>
      <c r="F10" s="114"/>
      <c r="G10" s="114"/>
      <c r="H10" s="141"/>
      <c r="I10" s="140"/>
      <c r="J10" s="114"/>
      <c r="K10" s="114"/>
      <c r="L10" s="141"/>
      <c r="M10" s="140"/>
      <c r="N10" s="114"/>
      <c r="O10" s="114"/>
      <c r="P10" s="141"/>
      <c r="Q10" s="140"/>
      <c r="R10" s="141"/>
      <c r="T10" s="173"/>
      <c r="U10" s="174"/>
      <c r="V10" s="173"/>
      <c r="W10" s="174"/>
      <c r="X10" s="173"/>
      <c r="Y10" s="174"/>
      <c r="Z10" s="173"/>
      <c r="AA10" s="174"/>
    </row>
    <row r="11" spans="1:27">
      <c r="A11" s="80">
        <v>2.1</v>
      </c>
      <c r="B11" s="90" t="s">
        <v>139</v>
      </c>
      <c r="C11" s="142"/>
      <c r="D11" s="147"/>
      <c r="E11" s="144"/>
      <c r="F11" s="85"/>
      <c r="G11" s="85"/>
      <c r="H11" s="143"/>
      <c r="I11" s="144"/>
      <c r="J11" s="85"/>
      <c r="K11" s="85"/>
      <c r="L11" s="143"/>
      <c r="M11" s="144"/>
      <c r="N11" s="85"/>
      <c r="O11" s="85"/>
      <c r="P11" s="143"/>
      <c r="Q11" s="144"/>
      <c r="R11" s="143"/>
      <c r="T11" s="169" t="e">
        <f>Budget!#REF!</f>
        <v>#REF!</v>
      </c>
      <c r="U11" s="170" t="e">
        <f>Budget!#REF!</f>
        <v>#REF!</v>
      </c>
      <c r="V11" s="169"/>
      <c r="W11" s="170"/>
      <c r="X11" s="169"/>
      <c r="Y11" s="170"/>
      <c r="Z11" s="169"/>
      <c r="AA11" s="170"/>
    </row>
    <row r="12" spans="1:27">
      <c r="A12" s="80">
        <v>2.2000000000000002</v>
      </c>
      <c r="B12" s="90" t="s">
        <v>157</v>
      </c>
      <c r="C12" s="144"/>
      <c r="D12" s="143"/>
      <c r="E12" s="142"/>
      <c r="F12" s="115"/>
      <c r="G12" s="85"/>
      <c r="H12" s="143"/>
      <c r="I12" s="144"/>
      <c r="J12" s="85"/>
      <c r="K12" s="85"/>
      <c r="L12" s="143"/>
      <c r="M12" s="144"/>
      <c r="N12" s="85"/>
      <c r="O12" s="85"/>
      <c r="P12" s="143"/>
      <c r="Q12" s="144"/>
      <c r="R12" s="143"/>
      <c r="T12" s="169"/>
      <c r="U12" s="170"/>
      <c r="V12" s="169" t="e">
        <f>Budget!#REF!</f>
        <v>#REF!</v>
      </c>
      <c r="W12" s="170" t="e">
        <f>Budget!#REF!</f>
        <v>#REF!</v>
      </c>
      <c r="X12" s="169"/>
      <c r="Y12" s="170"/>
      <c r="Z12" s="169"/>
      <c r="AA12" s="170"/>
    </row>
    <row r="13" spans="1:27">
      <c r="A13" s="10">
        <v>2.4</v>
      </c>
      <c r="B13" s="90" t="s">
        <v>141</v>
      </c>
      <c r="C13" s="144"/>
      <c r="D13" s="143"/>
      <c r="E13" s="142"/>
      <c r="F13" s="115"/>
      <c r="G13" s="85"/>
      <c r="H13" s="143"/>
      <c r="I13" s="144"/>
      <c r="J13" s="85"/>
      <c r="K13" s="85"/>
      <c r="L13" s="143"/>
      <c r="M13" s="144"/>
      <c r="N13" s="85"/>
      <c r="O13" s="85"/>
      <c r="P13" s="143"/>
      <c r="Q13" s="144"/>
      <c r="R13" s="143"/>
      <c r="T13" s="169"/>
      <c r="U13" s="170"/>
      <c r="V13" s="169" t="e">
        <f>Budget!#REF!</f>
        <v>#REF!</v>
      </c>
      <c r="W13" s="170" t="e">
        <f>Budget!#REF!</f>
        <v>#REF!</v>
      </c>
      <c r="X13" s="169"/>
      <c r="Y13" s="170"/>
      <c r="Z13" s="169"/>
      <c r="AA13" s="170"/>
    </row>
    <row r="14" spans="1:27">
      <c r="A14" s="80">
        <v>2.2999999999999998</v>
      </c>
      <c r="B14" s="90" t="s">
        <v>140</v>
      </c>
      <c r="C14" s="144"/>
      <c r="D14" s="143"/>
      <c r="E14" s="144"/>
      <c r="F14" s="85"/>
      <c r="G14" s="85"/>
      <c r="H14" s="143"/>
      <c r="I14" s="144"/>
      <c r="J14" s="85"/>
      <c r="K14" s="115"/>
      <c r="L14" s="143"/>
      <c r="M14" s="144"/>
      <c r="N14" s="85"/>
      <c r="O14" s="85"/>
      <c r="P14" s="143"/>
      <c r="Q14" s="144"/>
      <c r="R14" s="143"/>
      <c r="T14" s="169"/>
      <c r="U14" s="170"/>
      <c r="V14" s="169"/>
      <c r="W14" s="170"/>
      <c r="X14" s="169" t="e">
        <f>Budget!#REF!</f>
        <v>#REF!</v>
      </c>
      <c r="Y14" s="170" t="e">
        <f>Budget!#REF!</f>
        <v>#REF!</v>
      </c>
      <c r="Z14" s="169"/>
      <c r="AA14" s="170"/>
    </row>
    <row r="15" spans="1:27">
      <c r="A15" s="36"/>
      <c r="B15" s="111" t="s">
        <v>32</v>
      </c>
      <c r="C15" s="138"/>
      <c r="D15" s="139"/>
      <c r="E15" s="138" t="s">
        <v>43</v>
      </c>
      <c r="F15" s="35"/>
      <c r="G15" s="35" t="s">
        <v>44</v>
      </c>
      <c r="H15" s="139"/>
      <c r="I15" s="138" t="s">
        <v>42</v>
      </c>
      <c r="J15" s="35"/>
      <c r="K15" s="35"/>
      <c r="L15" s="139"/>
      <c r="M15" s="138"/>
      <c r="N15" s="35"/>
      <c r="O15" s="35"/>
      <c r="P15" s="139"/>
      <c r="Q15" s="138"/>
      <c r="R15" s="139"/>
      <c r="S15" s="183" t="s">
        <v>30</v>
      </c>
      <c r="T15" s="171" t="e">
        <f>SUM(T11:T14)</f>
        <v>#REF!</v>
      </c>
      <c r="U15" s="172" t="e">
        <f t="shared" ref="U15:AA15" si="6">SUM(U11:U14)</f>
        <v>#REF!</v>
      </c>
      <c r="V15" s="171" t="e">
        <f t="shared" si="6"/>
        <v>#REF!</v>
      </c>
      <c r="W15" s="172" t="e">
        <f t="shared" si="6"/>
        <v>#REF!</v>
      </c>
      <c r="X15" s="171" t="e">
        <f t="shared" si="6"/>
        <v>#REF!</v>
      </c>
      <c r="Y15" s="172" t="e">
        <f t="shared" si="6"/>
        <v>#REF!</v>
      </c>
      <c r="Z15" s="171">
        <f t="shared" si="6"/>
        <v>0</v>
      </c>
      <c r="AA15" s="172">
        <f t="shared" si="6"/>
        <v>0</v>
      </c>
    </row>
    <row r="16" spans="1:27">
      <c r="A16" s="46">
        <v>3</v>
      </c>
      <c r="B16" s="91" t="s">
        <v>113</v>
      </c>
      <c r="C16" s="145"/>
      <c r="D16" s="146"/>
      <c r="E16" s="145"/>
      <c r="F16" s="116"/>
      <c r="G16" s="116"/>
      <c r="H16" s="146"/>
      <c r="I16" s="145"/>
      <c r="J16" s="116"/>
      <c r="K16" s="116"/>
      <c r="L16" s="146"/>
      <c r="M16" s="145"/>
      <c r="N16" s="116"/>
      <c r="O16" s="116"/>
      <c r="P16" s="146"/>
      <c r="Q16" s="145"/>
      <c r="R16" s="146"/>
      <c r="T16" s="175"/>
      <c r="U16" s="176"/>
      <c r="V16" s="175"/>
      <c r="W16" s="176"/>
      <c r="X16" s="175"/>
      <c r="Y16" s="176"/>
      <c r="Z16" s="175"/>
      <c r="AA16" s="176"/>
    </row>
    <row r="17" spans="1:27">
      <c r="A17" s="80">
        <v>3.1</v>
      </c>
      <c r="B17" s="88" t="s">
        <v>106</v>
      </c>
      <c r="C17" s="142"/>
      <c r="D17" s="147"/>
      <c r="E17" s="122"/>
      <c r="F17" s="86"/>
      <c r="G17" s="86"/>
      <c r="H17" s="123"/>
      <c r="I17" s="122"/>
      <c r="J17" s="86"/>
      <c r="K17" s="86"/>
      <c r="L17" s="123"/>
      <c r="M17" s="122"/>
      <c r="N17" s="86"/>
      <c r="O17" s="86"/>
      <c r="P17" s="123"/>
      <c r="Q17" s="122"/>
      <c r="R17" s="123"/>
      <c r="T17" s="169">
        <f>Budget!$J17</f>
        <v>0</v>
      </c>
      <c r="U17" s="170">
        <f>Budget!$K17</f>
        <v>0</v>
      </c>
      <c r="V17" s="169"/>
      <c r="W17" s="170"/>
      <c r="X17" s="169"/>
      <c r="Y17" s="170"/>
      <c r="Z17" s="169"/>
      <c r="AA17" s="170"/>
    </row>
    <row r="18" spans="1:27">
      <c r="A18" s="80">
        <v>3.2</v>
      </c>
      <c r="B18" s="88" t="s">
        <v>107</v>
      </c>
      <c r="C18" s="122"/>
      <c r="D18" s="147"/>
      <c r="E18" s="142"/>
      <c r="F18" s="115"/>
      <c r="G18" s="86"/>
      <c r="H18" s="123"/>
      <c r="I18" s="122"/>
      <c r="J18" s="86"/>
      <c r="K18" s="86"/>
      <c r="L18" s="123"/>
      <c r="M18" s="122"/>
      <c r="N18" s="86"/>
      <c r="O18" s="86"/>
      <c r="P18" s="123"/>
      <c r="Q18" s="122"/>
      <c r="R18" s="123"/>
      <c r="T18" s="169">
        <f>Budget!$J18</f>
        <v>0</v>
      </c>
      <c r="U18" s="170">
        <f>Budget!$K18</f>
        <v>6299.9999999999991</v>
      </c>
      <c r="V18" s="169"/>
      <c r="W18" s="170"/>
      <c r="X18" s="169"/>
      <c r="Y18" s="170"/>
      <c r="Z18" s="169"/>
      <c r="AA18" s="170"/>
    </row>
    <row r="19" spans="1:27">
      <c r="A19" s="80">
        <v>3.4</v>
      </c>
      <c r="B19" s="88" t="s">
        <v>143</v>
      </c>
      <c r="C19" s="122"/>
      <c r="D19" s="123"/>
      <c r="E19" s="122"/>
      <c r="F19" s="86"/>
      <c r="G19" s="115"/>
      <c r="H19" s="147"/>
      <c r="I19" s="142"/>
      <c r="J19" s="86"/>
      <c r="K19" s="86"/>
      <c r="L19" s="123"/>
      <c r="M19" s="122"/>
      <c r="N19" s="86"/>
      <c r="O19" s="86"/>
      <c r="P19" s="123"/>
      <c r="Q19" s="122"/>
      <c r="R19" s="123"/>
      <c r="T19" s="169"/>
      <c r="U19" s="170"/>
      <c r="V19" s="169">
        <f>Budget!$J19</f>
        <v>0</v>
      </c>
      <c r="W19" s="170">
        <f>Budget!$K19</f>
        <v>25199.999999999996</v>
      </c>
      <c r="X19" s="169"/>
      <c r="Y19" s="170"/>
      <c r="Z19" s="169"/>
      <c r="AA19" s="170"/>
    </row>
    <row r="20" spans="1:27">
      <c r="A20" s="80">
        <v>3.3</v>
      </c>
      <c r="B20" s="88" t="s">
        <v>144</v>
      </c>
      <c r="C20" s="122"/>
      <c r="D20" s="123"/>
      <c r="E20" s="122"/>
      <c r="F20" s="86"/>
      <c r="G20" s="115"/>
      <c r="H20" s="147"/>
      <c r="I20" s="142"/>
      <c r="J20" s="86"/>
      <c r="K20" s="86"/>
      <c r="L20" s="123"/>
      <c r="M20" s="122"/>
      <c r="N20" s="86"/>
      <c r="O20" s="86"/>
      <c r="P20" s="123"/>
      <c r="Q20" s="122"/>
      <c r="R20" s="123"/>
      <c r="T20" s="169"/>
      <c r="U20" s="170"/>
      <c r="V20" s="169">
        <f>Budget!$J20</f>
        <v>0</v>
      </c>
      <c r="W20" s="170">
        <f>Budget!$K20</f>
        <v>4914</v>
      </c>
      <c r="X20" s="169"/>
      <c r="Y20" s="170"/>
      <c r="Z20" s="169"/>
      <c r="AA20" s="170"/>
    </row>
    <row r="21" spans="1:27">
      <c r="A21" s="80">
        <v>3.5</v>
      </c>
      <c r="B21" s="88" t="s">
        <v>146</v>
      </c>
      <c r="C21" s="122"/>
      <c r="D21" s="123"/>
      <c r="E21" s="122"/>
      <c r="F21" s="86"/>
      <c r="G21" s="115"/>
      <c r="H21" s="123"/>
      <c r="I21" s="122"/>
      <c r="J21" s="86"/>
      <c r="K21" s="86"/>
      <c r="L21" s="123"/>
      <c r="M21" s="122"/>
      <c r="N21" s="86"/>
      <c r="O21" s="86"/>
      <c r="P21" s="123"/>
      <c r="Q21" s="122"/>
      <c r="R21" s="123"/>
      <c r="T21" s="169"/>
      <c r="U21" s="170"/>
      <c r="V21" s="169">
        <f>Budget!$J21</f>
        <v>0</v>
      </c>
      <c r="W21" s="170">
        <f>Budget!$K21</f>
        <v>8190</v>
      </c>
      <c r="X21" s="169"/>
      <c r="Y21" s="170"/>
      <c r="Z21" s="169"/>
      <c r="AA21" s="170"/>
    </row>
    <row r="22" spans="1:27">
      <c r="A22" s="80">
        <v>3.6</v>
      </c>
      <c r="B22" s="88" t="s">
        <v>145</v>
      </c>
      <c r="C22" s="122"/>
      <c r="D22" s="123"/>
      <c r="E22" s="122"/>
      <c r="F22" s="86"/>
      <c r="G22" s="86"/>
      <c r="H22" s="147"/>
      <c r="I22" s="142"/>
      <c r="J22" s="86"/>
      <c r="K22" s="86"/>
      <c r="L22" s="123"/>
      <c r="M22" s="122"/>
      <c r="N22" s="86"/>
      <c r="O22" s="86"/>
      <c r="P22" s="123"/>
      <c r="Q22" s="122"/>
      <c r="R22" s="123"/>
      <c r="T22" s="169"/>
      <c r="U22" s="170"/>
      <c r="V22" s="169"/>
      <c r="W22" s="170"/>
      <c r="X22" s="169">
        <f>Budget!$J22</f>
        <v>0</v>
      </c>
      <c r="Y22" s="170">
        <f>Budget!$K22</f>
        <v>16380</v>
      </c>
      <c r="Z22" s="169"/>
      <c r="AA22" s="170"/>
    </row>
    <row r="23" spans="1:27">
      <c r="A23" s="80">
        <v>3.7</v>
      </c>
      <c r="B23" s="88" t="s">
        <v>109</v>
      </c>
      <c r="C23" s="122"/>
      <c r="D23" s="123"/>
      <c r="E23" s="122"/>
      <c r="F23" s="86"/>
      <c r="G23" s="86"/>
      <c r="H23" s="123"/>
      <c r="I23" s="142"/>
      <c r="J23" s="115"/>
      <c r="K23" s="115"/>
      <c r="L23" s="147"/>
      <c r="M23" s="136"/>
      <c r="N23" s="115"/>
      <c r="O23" s="115"/>
      <c r="P23" s="115"/>
      <c r="Q23" s="122"/>
      <c r="R23" s="123"/>
      <c r="T23" s="169"/>
      <c r="U23" s="170"/>
      <c r="V23" s="169"/>
      <c r="W23" s="170"/>
      <c r="X23" s="169">
        <f>Budget!$J23</f>
        <v>0</v>
      </c>
      <c r="Y23" s="170">
        <f>Budget!$K23</f>
        <v>3276</v>
      </c>
      <c r="Z23" s="169"/>
      <c r="AA23" s="170"/>
    </row>
    <row r="24" spans="1:27">
      <c r="A24" s="80">
        <v>3.8</v>
      </c>
      <c r="B24" s="88" t="s">
        <v>108</v>
      </c>
      <c r="C24" s="122"/>
      <c r="D24" s="123"/>
      <c r="E24" s="122"/>
      <c r="F24" s="86"/>
      <c r="G24" s="86"/>
      <c r="H24" s="123"/>
      <c r="I24" s="122"/>
      <c r="J24" s="86"/>
      <c r="K24" s="115"/>
      <c r="L24" s="123"/>
      <c r="M24" s="122"/>
      <c r="N24" s="86"/>
      <c r="O24" s="86"/>
      <c r="P24" s="123"/>
      <c r="Q24" s="122"/>
      <c r="R24" s="123"/>
      <c r="T24" s="169"/>
      <c r="U24" s="170"/>
      <c r="V24" s="169"/>
      <c r="W24" s="170"/>
      <c r="X24" s="169" t="e">
        <f>Budget!#REF!</f>
        <v>#REF!</v>
      </c>
      <c r="Y24" s="170" t="e">
        <f>Budget!#REF!</f>
        <v>#REF!</v>
      </c>
      <c r="Z24" s="169"/>
      <c r="AA24" s="170"/>
    </row>
    <row r="25" spans="1:27">
      <c r="A25" s="80">
        <v>3.8</v>
      </c>
      <c r="B25" s="88" t="s">
        <v>60</v>
      </c>
      <c r="C25" s="122"/>
      <c r="D25" s="123"/>
      <c r="E25" s="122"/>
      <c r="F25" s="86"/>
      <c r="G25" s="86"/>
      <c r="H25" s="123"/>
      <c r="I25" s="122"/>
      <c r="J25" s="86"/>
      <c r="K25" s="115"/>
      <c r="L25" s="115"/>
      <c r="M25" s="122"/>
      <c r="N25" s="86"/>
      <c r="O25" s="86"/>
      <c r="P25" s="123"/>
      <c r="Q25" s="122"/>
      <c r="R25" s="123"/>
      <c r="T25" s="169"/>
      <c r="U25" s="170"/>
      <c r="V25" s="169"/>
      <c r="W25" s="170"/>
      <c r="X25" s="169">
        <f>Budget!$J26</f>
        <v>0</v>
      </c>
      <c r="Y25" s="170">
        <f>Budget!$K26</f>
        <v>0</v>
      </c>
      <c r="Z25" s="169"/>
      <c r="AA25" s="170"/>
    </row>
    <row r="26" spans="1:27">
      <c r="A26" s="36"/>
      <c r="B26" s="112" t="s">
        <v>33</v>
      </c>
      <c r="C26" s="148"/>
      <c r="D26" s="149"/>
      <c r="E26" s="148"/>
      <c r="F26" s="41" t="s">
        <v>43</v>
      </c>
      <c r="G26" s="41"/>
      <c r="H26" s="149"/>
      <c r="I26" s="148" t="s">
        <v>44</v>
      </c>
      <c r="J26" s="41"/>
      <c r="K26" s="41" t="s">
        <v>0</v>
      </c>
      <c r="L26" s="149" t="s">
        <v>1</v>
      </c>
      <c r="M26" s="148"/>
      <c r="N26" s="41"/>
      <c r="O26" s="41"/>
      <c r="P26" s="149"/>
      <c r="Q26" s="148"/>
      <c r="R26" s="149"/>
      <c r="S26" s="165" t="s">
        <v>30</v>
      </c>
      <c r="T26" s="171">
        <f>SUM(T17:T25)</f>
        <v>0</v>
      </c>
      <c r="U26" s="172">
        <f t="shared" ref="U26:AA26" si="7">SUM(U17:U25)</f>
        <v>6299.9999999999991</v>
      </c>
      <c r="V26" s="171">
        <f t="shared" si="7"/>
        <v>0</v>
      </c>
      <c r="W26" s="172">
        <f t="shared" si="7"/>
        <v>38304</v>
      </c>
      <c r="X26" s="171" t="e">
        <f t="shared" si="7"/>
        <v>#REF!</v>
      </c>
      <c r="Y26" s="172" t="e">
        <f t="shared" si="7"/>
        <v>#REF!</v>
      </c>
      <c r="Z26" s="171">
        <f t="shared" si="7"/>
        <v>0</v>
      </c>
      <c r="AA26" s="172">
        <f t="shared" si="7"/>
        <v>0</v>
      </c>
    </row>
    <row r="27" spans="1:27" s="14" customFormat="1">
      <c r="A27" s="45">
        <v>4</v>
      </c>
      <c r="B27" s="89" t="s">
        <v>147</v>
      </c>
      <c r="C27" s="140"/>
      <c r="D27" s="141"/>
      <c r="E27" s="140"/>
      <c r="F27" s="114"/>
      <c r="G27" s="114"/>
      <c r="H27" s="141"/>
      <c r="I27" s="140"/>
      <c r="J27" s="114"/>
      <c r="K27" s="114"/>
      <c r="L27" s="141"/>
      <c r="M27" s="140"/>
      <c r="N27" s="114"/>
      <c r="O27" s="114"/>
      <c r="P27" s="141"/>
      <c r="Q27" s="140"/>
      <c r="R27" s="141"/>
      <c r="S27" s="166"/>
      <c r="T27" s="173"/>
      <c r="U27" s="174"/>
      <c r="V27" s="173"/>
      <c r="W27" s="174"/>
      <c r="X27" s="173"/>
      <c r="Y27" s="174"/>
      <c r="Z27" s="173"/>
      <c r="AA27" s="174"/>
    </row>
    <row r="28" spans="1:27" s="14" customFormat="1">
      <c r="A28" s="80">
        <v>4.0999999999999996</v>
      </c>
      <c r="B28" s="88" t="s">
        <v>148</v>
      </c>
      <c r="C28" s="142"/>
      <c r="D28" s="147"/>
      <c r="E28" s="115"/>
      <c r="F28" s="86"/>
      <c r="G28" s="86"/>
      <c r="H28" s="123"/>
      <c r="I28" s="122"/>
      <c r="J28" s="86"/>
      <c r="K28" s="86"/>
      <c r="L28" s="123"/>
      <c r="M28" s="122"/>
      <c r="N28" s="86"/>
      <c r="O28" s="86"/>
      <c r="P28" s="123"/>
      <c r="Q28" s="122"/>
      <c r="R28" s="123"/>
      <c r="S28" s="166"/>
      <c r="T28" s="169">
        <f>Budget!$J35</f>
        <v>0</v>
      </c>
      <c r="U28" s="170">
        <f>Budget!$K35</f>
        <v>0</v>
      </c>
      <c r="V28" s="169"/>
      <c r="W28" s="170"/>
      <c r="X28" s="169"/>
      <c r="Y28" s="170"/>
      <c r="Z28" s="169"/>
      <c r="AA28" s="170"/>
    </row>
    <row r="29" spans="1:27" s="14" customFormat="1">
      <c r="A29" s="80">
        <v>4.2</v>
      </c>
      <c r="B29" s="90" t="s">
        <v>124</v>
      </c>
      <c r="C29" s="144"/>
      <c r="D29" s="143"/>
      <c r="E29" s="142"/>
      <c r="F29" s="115"/>
      <c r="G29" s="115"/>
      <c r="H29" s="143"/>
      <c r="I29" s="144"/>
      <c r="J29" s="85"/>
      <c r="K29" s="85"/>
      <c r="L29" s="143"/>
      <c r="M29" s="144"/>
      <c r="N29" s="85"/>
      <c r="O29" s="85"/>
      <c r="P29" s="143"/>
      <c r="Q29" s="144"/>
      <c r="R29" s="143"/>
      <c r="S29" s="166"/>
      <c r="T29" s="169"/>
      <c r="U29" s="170"/>
      <c r="V29" s="169">
        <f>Budget!$J36</f>
        <v>0</v>
      </c>
      <c r="W29" s="170">
        <f>Budget!$K36</f>
        <v>0</v>
      </c>
      <c r="X29" s="169"/>
      <c r="Y29" s="170"/>
      <c r="Z29" s="169"/>
      <c r="AA29" s="170"/>
    </row>
    <row r="30" spans="1:27" s="14" customFormat="1">
      <c r="A30" s="80" t="s">
        <v>125</v>
      </c>
      <c r="B30" s="90" t="s">
        <v>71</v>
      </c>
      <c r="C30" s="144"/>
      <c r="D30" s="143"/>
      <c r="E30" s="142"/>
      <c r="F30" s="85"/>
      <c r="G30" s="85"/>
      <c r="H30" s="143"/>
      <c r="I30" s="144"/>
      <c r="J30" s="85"/>
      <c r="K30" s="85"/>
      <c r="L30" s="143"/>
      <c r="M30" s="144"/>
      <c r="N30" s="85"/>
      <c r="O30" s="85"/>
      <c r="P30" s="143"/>
      <c r="Q30" s="144"/>
      <c r="R30" s="143"/>
      <c r="S30" s="166"/>
      <c r="T30" s="169"/>
      <c r="U30" s="170"/>
      <c r="V30" s="169">
        <f>Budget!$J37</f>
        <v>0</v>
      </c>
      <c r="W30" s="170">
        <f>Budget!$K37</f>
        <v>25000</v>
      </c>
      <c r="X30" s="169"/>
      <c r="Y30" s="170"/>
      <c r="Z30" s="169"/>
      <c r="AA30" s="170"/>
    </row>
    <row r="31" spans="1:27" s="14" customFormat="1">
      <c r="A31" s="80" t="s">
        <v>126</v>
      </c>
      <c r="B31" s="90" t="s">
        <v>72</v>
      </c>
      <c r="C31" s="144"/>
      <c r="D31" s="143"/>
      <c r="E31" s="142"/>
      <c r="F31" s="115"/>
      <c r="G31" s="85"/>
      <c r="H31" s="143"/>
      <c r="I31" s="144"/>
      <c r="J31" s="85"/>
      <c r="K31" s="85"/>
      <c r="L31" s="143"/>
      <c r="M31" s="144"/>
      <c r="N31" s="85"/>
      <c r="O31" s="85"/>
      <c r="P31" s="143"/>
      <c r="Q31" s="144"/>
      <c r="R31" s="143"/>
      <c r="S31" s="166"/>
      <c r="T31" s="169"/>
      <c r="U31" s="170"/>
      <c r="V31" s="169">
        <f>Budget!$J38</f>
        <v>0</v>
      </c>
      <c r="W31" s="170">
        <f>Budget!$K38</f>
        <v>14000</v>
      </c>
      <c r="X31" s="169"/>
      <c r="Y31" s="170"/>
      <c r="Z31" s="169"/>
      <c r="AA31" s="170"/>
    </row>
    <row r="32" spans="1:27" s="14" customFormat="1">
      <c r="A32" s="80" t="s">
        <v>127</v>
      </c>
      <c r="B32" s="90" t="s">
        <v>73</v>
      </c>
      <c r="C32" s="144"/>
      <c r="D32" s="143"/>
      <c r="E32" s="142"/>
      <c r="F32" s="115"/>
      <c r="G32" s="85"/>
      <c r="H32" s="143"/>
      <c r="I32" s="144"/>
      <c r="J32" s="85"/>
      <c r="K32" s="85"/>
      <c r="L32" s="143"/>
      <c r="M32" s="144"/>
      <c r="N32" s="85"/>
      <c r="O32" s="85"/>
      <c r="P32" s="143"/>
      <c r="Q32" s="144"/>
      <c r="R32" s="143"/>
      <c r="S32" s="166"/>
      <c r="T32" s="169"/>
      <c r="U32" s="170"/>
      <c r="V32" s="169">
        <f>Budget!$J39</f>
        <v>0</v>
      </c>
      <c r="W32" s="170">
        <f>Budget!$K39</f>
        <v>3999.9999999999995</v>
      </c>
      <c r="X32" s="169"/>
      <c r="Y32" s="170"/>
      <c r="Z32" s="169"/>
      <c r="AA32" s="170"/>
    </row>
    <row r="33" spans="1:27" s="14" customFormat="1">
      <c r="A33" s="80" t="s">
        <v>128</v>
      </c>
      <c r="B33" s="90" t="s">
        <v>74</v>
      </c>
      <c r="C33" s="144"/>
      <c r="D33" s="143"/>
      <c r="E33" s="142"/>
      <c r="F33" s="115"/>
      <c r="G33" s="85"/>
      <c r="H33" s="143"/>
      <c r="I33" s="144"/>
      <c r="J33" s="85"/>
      <c r="K33" s="85"/>
      <c r="L33" s="143"/>
      <c r="M33" s="144"/>
      <c r="N33" s="85"/>
      <c r="O33" s="85"/>
      <c r="P33" s="143"/>
      <c r="Q33" s="144"/>
      <c r="R33" s="143"/>
      <c r="S33" s="166"/>
      <c r="T33" s="169"/>
      <c r="U33" s="170"/>
      <c r="V33" s="169">
        <f>Budget!$J40</f>
        <v>0</v>
      </c>
      <c r="W33" s="170">
        <f>Budget!$K40</f>
        <v>14999.999999999998</v>
      </c>
      <c r="X33" s="169"/>
      <c r="Y33" s="170"/>
      <c r="Z33" s="169"/>
      <c r="AA33" s="170"/>
    </row>
    <row r="34" spans="1:27" s="14" customFormat="1">
      <c r="A34" s="80" t="s">
        <v>129</v>
      </c>
      <c r="B34" s="90" t="s">
        <v>75</v>
      </c>
      <c r="C34" s="144"/>
      <c r="D34" s="143"/>
      <c r="E34" s="142"/>
      <c r="F34" s="115"/>
      <c r="G34" s="85"/>
      <c r="H34" s="143"/>
      <c r="I34" s="144"/>
      <c r="J34" s="85"/>
      <c r="K34" s="85"/>
      <c r="L34" s="143"/>
      <c r="M34" s="144"/>
      <c r="N34" s="85"/>
      <c r="O34" s="85"/>
      <c r="P34" s="143"/>
      <c r="Q34" s="144"/>
      <c r="R34" s="143"/>
      <c r="S34" s="166"/>
      <c r="T34" s="169"/>
      <c r="U34" s="170"/>
      <c r="V34" s="169">
        <f>Budget!$J41</f>
        <v>0</v>
      </c>
      <c r="W34" s="170">
        <f>Budget!$K41</f>
        <v>999.99999999999989</v>
      </c>
      <c r="X34" s="169"/>
      <c r="Y34" s="170"/>
      <c r="Z34" s="169"/>
      <c r="AA34" s="170"/>
    </row>
    <row r="35" spans="1:27" s="14" customFormat="1">
      <c r="A35" s="80" t="s">
        <v>130</v>
      </c>
      <c r="B35" s="90" t="s">
        <v>76</v>
      </c>
      <c r="C35" s="144"/>
      <c r="D35" s="143"/>
      <c r="E35" s="142"/>
      <c r="F35" s="115"/>
      <c r="G35" s="85"/>
      <c r="H35" s="143"/>
      <c r="I35" s="144"/>
      <c r="J35" s="85"/>
      <c r="K35" s="85"/>
      <c r="L35" s="143"/>
      <c r="M35" s="144"/>
      <c r="N35" s="85"/>
      <c r="O35" s="85"/>
      <c r="P35" s="143"/>
      <c r="Q35" s="144"/>
      <c r="R35" s="143"/>
      <c r="S35" s="166"/>
      <c r="T35" s="169"/>
      <c r="U35" s="170"/>
      <c r="V35" s="169">
        <f>Budget!$J42</f>
        <v>0</v>
      </c>
      <c r="W35" s="170">
        <f>Budget!$K42</f>
        <v>10000</v>
      </c>
      <c r="X35" s="169"/>
      <c r="Y35" s="170"/>
      <c r="Z35" s="169"/>
      <c r="AA35" s="170"/>
    </row>
    <row r="36" spans="1:27" s="14" customFormat="1">
      <c r="A36" s="80" t="s">
        <v>131</v>
      </c>
      <c r="B36" s="90" t="s">
        <v>77</v>
      </c>
      <c r="C36" s="144"/>
      <c r="D36" s="143"/>
      <c r="E36" s="142"/>
      <c r="F36" s="115"/>
      <c r="G36" s="85"/>
      <c r="H36" s="143"/>
      <c r="I36" s="144"/>
      <c r="J36" s="85"/>
      <c r="K36" s="85"/>
      <c r="L36" s="143"/>
      <c r="M36" s="144"/>
      <c r="N36" s="85"/>
      <c r="O36" s="85"/>
      <c r="P36" s="143"/>
      <c r="Q36" s="144"/>
      <c r="R36" s="143"/>
      <c r="S36" s="166"/>
      <c r="T36" s="169"/>
      <c r="U36" s="170"/>
      <c r="V36" s="169">
        <f>Budget!$J43</f>
        <v>0</v>
      </c>
      <c r="W36" s="170">
        <f>Budget!$K43</f>
        <v>999.99999999999989</v>
      </c>
      <c r="X36" s="169"/>
      <c r="Y36" s="170"/>
      <c r="Z36" s="169"/>
      <c r="AA36" s="170"/>
    </row>
    <row r="37" spans="1:27" s="14" customFormat="1">
      <c r="A37" s="80">
        <v>4.3</v>
      </c>
      <c r="B37" s="90" t="s">
        <v>78</v>
      </c>
      <c r="C37" s="144"/>
      <c r="D37" s="143"/>
      <c r="E37" s="142"/>
      <c r="F37" s="115"/>
      <c r="G37" s="85"/>
      <c r="H37" s="143"/>
      <c r="I37" s="144"/>
      <c r="J37" s="85"/>
      <c r="K37" s="85"/>
      <c r="L37" s="143"/>
      <c r="M37" s="144"/>
      <c r="N37" s="85"/>
      <c r="O37" s="85"/>
      <c r="P37" s="143"/>
      <c r="Q37" s="144"/>
      <c r="R37" s="143"/>
      <c r="S37" s="166"/>
      <c r="T37" s="169"/>
      <c r="U37" s="170"/>
      <c r="V37" s="169" t="e">
        <f>Budget!#REF!</f>
        <v>#REF!</v>
      </c>
      <c r="W37" s="170" t="e">
        <f>Budget!#REF!</f>
        <v>#REF!</v>
      </c>
      <c r="X37" s="169"/>
      <c r="Y37" s="170"/>
      <c r="Z37" s="169"/>
      <c r="AA37" s="170"/>
    </row>
    <row r="38" spans="1:27" s="14" customFormat="1">
      <c r="A38" s="80" t="s">
        <v>79</v>
      </c>
      <c r="B38" s="90" t="s">
        <v>85</v>
      </c>
      <c r="C38" s="144"/>
      <c r="D38" s="143"/>
      <c r="E38" s="142"/>
      <c r="F38" s="115"/>
      <c r="G38" s="85"/>
      <c r="H38" s="143"/>
      <c r="I38" s="144"/>
      <c r="J38" s="85"/>
      <c r="K38" s="85"/>
      <c r="L38" s="143"/>
      <c r="M38" s="144"/>
      <c r="N38" s="85"/>
      <c r="O38" s="85"/>
      <c r="P38" s="143"/>
      <c r="Q38" s="144"/>
      <c r="R38" s="143"/>
      <c r="S38" s="166"/>
      <c r="T38" s="169"/>
      <c r="U38" s="170"/>
      <c r="V38" s="169" t="e">
        <f>Budget!#REF!</f>
        <v>#REF!</v>
      </c>
      <c r="W38" s="170" t="e">
        <f>Budget!#REF!</f>
        <v>#REF!</v>
      </c>
      <c r="X38" s="169"/>
      <c r="Y38" s="170"/>
      <c r="Z38" s="169"/>
      <c r="AA38" s="170"/>
    </row>
    <row r="39" spans="1:27" s="14" customFormat="1">
      <c r="A39" s="80" t="s">
        <v>80</v>
      </c>
      <c r="B39" s="90" t="s">
        <v>84</v>
      </c>
      <c r="C39" s="144"/>
      <c r="D39" s="143"/>
      <c r="E39" s="85"/>
      <c r="F39" s="115"/>
      <c r="G39" s="115"/>
      <c r="H39" s="143"/>
      <c r="I39" s="144"/>
      <c r="J39" s="85"/>
      <c r="K39" s="85"/>
      <c r="L39" s="143"/>
      <c r="M39" s="144"/>
      <c r="N39" s="85"/>
      <c r="O39" s="85"/>
      <c r="P39" s="143"/>
      <c r="Q39" s="144"/>
      <c r="R39" s="143"/>
      <c r="S39" s="166"/>
      <c r="T39" s="169"/>
      <c r="U39" s="170"/>
      <c r="V39" s="169" t="e">
        <f>Budget!#REF!</f>
        <v>#REF!</v>
      </c>
      <c r="W39" s="170" t="e">
        <f>Budget!#REF!</f>
        <v>#REF!</v>
      </c>
      <c r="X39" s="169"/>
      <c r="Y39" s="170"/>
      <c r="Z39" s="169"/>
      <c r="AA39" s="170"/>
    </row>
    <row r="40" spans="1:27" s="14" customFormat="1">
      <c r="A40" s="80" t="s">
        <v>81</v>
      </c>
      <c r="B40" s="90" t="s">
        <v>83</v>
      </c>
      <c r="C40" s="144"/>
      <c r="D40" s="143"/>
      <c r="E40" s="85"/>
      <c r="F40" s="115"/>
      <c r="G40" s="115"/>
      <c r="H40" s="143"/>
      <c r="I40" s="144"/>
      <c r="J40" s="85"/>
      <c r="K40" s="85"/>
      <c r="L40" s="143"/>
      <c r="M40" s="144"/>
      <c r="N40" s="85"/>
      <c r="O40" s="85"/>
      <c r="P40" s="143"/>
      <c r="Q40" s="144"/>
      <c r="R40" s="143"/>
      <c r="S40" s="166"/>
      <c r="T40" s="169"/>
      <c r="U40" s="170"/>
      <c r="V40" s="169" t="e">
        <f>Budget!#REF!</f>
        <v>#REF!</v>
      </c>
      <c r="W40" s="170" t="e">
        <f>Budget!#REF!</f>
        <v>#REF!</v>
      </c>
      <c r="X40" s="169"/>
      <c r="Y40" s="170"/>
      <c r="Z40" s="169"/>
      <c r="AA40" s="170"/>
    </row>
    <row r="41" spans="1:27" s="14" customFormat="1">
      <c r="A41" s="80" t="s">
        <v>82</v>
      </c>
      <c r="B41" s="90" t="s">
        <v>86</v>
      </c>
      <c r="C41" s="144"/>
      <c r="D41" s="143"/>
      <c r="E41" s="85"/>
      <c r="F41" s="115"/>
      <c r="G41" s="115"/>
      <c r="H41" s="143"/>
      <c r="I41" s="144"/>
      <c r="J41" s="85"/>
      <c r="K41" s="85"/>
      <c r="L41" s="143"/>
      <c r="M41" s="144"/>
      <c r="N41" s="85"/>
      <c r="O41" s="85"/>
      <c r="P41" s="143"/>
      <c r="Q41" s="144"/>
      <c r="R41" s="143"/>
      <c r="S41" s="166"/>
      <c r="T41" s="169"/>
      <c r="U41" s="170"/>
      <c r="V41" s="169" t="e">
        <f>Budget!#REF!</f>
        <v>#REF!</v>
      </c>
      <c r="W41" s="170" t="e">
        <f>Budget!#REF!</f>
        <v>#REF!</v>
      </c>
      <c r="X41" s="169"/>
      <c r="Y41" s="170"/>
      <c r="Z41" s="169"/>
      <c r="AA41" s="170"/>
    </row>
    <row r="42" spans="1:27" s="14" customFormat="1">
      <c r="A42" s="80">
        <v>4.4000000000000004</v>
      </c>
      <c r="B42" s="90" t="s">
        <v>87</v>
      </c>
      <c r="C42" s="144"/>
      <c r="D42" s="143"/>
      <c r="E42" s="85"/>
      <c r="F42" s="115"/>
      <c r="G42" s="115"/>
      <c r="H42" s="143"/>
      <c r="I42" s="144"/>
      <c r="J42" s="85"/>
      <c r="K42" s="85"/>
      <c r="L42" s="143"/>
      <c r="M42" s="144"/>
      <c r="N42" s="85"/>
      <c r="O42" s="85"/>
      <c r="P42" s="143"/>
      <c r="Q42" s="144"/>
      <c r="R42" s="143"/>
      <c r="S42" s="166"/>
      <c r="T42" s="169"/>
      <c r="U42" s="170"/>
      <c r="V42" s="169">
        <f>Budget!$J44</f>
        <v>0</v>
      </c>
      <c r="W42" s="170">
        <f>Budget!$K44</f>
        <v>0</v>
      </c>
      <c r="X42" s="169"/>
      <c r="Y42" s="170"/>
      <c r="Z42" s="169"/>
      <c r="AA42" s="170"/>
    </row>
    <row r="43" spans="1:27" s="14" customFormat="1">
      <c r="A43" s="80" t="s">
        <v>88</v>
      </c>
      <c r="B43" s="90" t="s">
        <v>92</v>
      </c>
      <c r="C43" s="144"/>
      <c r="D43" s="143"/>
      <c r="E43" s="85"/>
      <c r="F43" s="115"/>
      <c r="G43" s="115"/>
      <c r="H43" s="143"/>
      <c r="I43" s="144"/>
      <c r="J43" s="85"/>
      <c r="K43" s="85"/>
      <c r="L43" s="143"/>
      <c r="M43" s="144"/>
      <c r="N43" s="85"/>
      <c r="O43" s="85"/>
      <c r="P43" s="143"/>
      <c r="Q43" s="144"/>
      <c r="R43" s="143"/>
      <c r="S43" s="166"/>
      <c r="T43" s="169"/>
      <c r="U43" s="170"/>
      <c r="V43" s="169">
        <f>Budget!$J45</f>
        <v>0</v>
      </c>
      <c r="W43" s="170">
        <f>Budget!$K45</f>
        <v>1999.9999999999998</v>
      </c>
      <c r="X43" s="169"/>
      <c r="Y43" s="170"/>
      <c r="Z43" s="169"/>
      <c r="AA43" s="170"/>
    </row>
    <row r="44" spans="1:27" s="14" customFormat="1">
      <c r="A44" s="80" t="s">
        <v>89</v>
      </c>
      <c r="B44" s="90" t="s">
        <v>93</v>
      </c>
      <c r="C44" s="144"/>
      <c r="D44" s="143"/>
      <c r="E44" s="85"/>
      <c r="F44" s="115"/>
      <c r="G44" s="115"/>
      <c r="H44" s="143"/>
      <c r="I44" s="144"/>
      <c r="J44" s="85"/>
      <c r="K44" s="85"/>
      <c r="L44" s="143"/>
      <c r="M44" s="144"/>
      <c r="N44" s="85"/>
      <c r="O44" s="85"/>
      <c r="P44" s="143"/>
      <c r="Q44" s="144"/>
      <c r="R44" s="143"/>
      <c r="S44" s="166"/>
      <c r="T44" s="169"/>
      <c r="U44" s="170"/>
      <c r="V44" s="169">
        <f>Budget!$J46</f>
        <v>0</v>
      </c>
      <c r="W44" s="170">
        <f>Budget!$K46</f>
        <v>25000</v>
      </c>
      <c r="X44" s="169"/>
      <c r="Y44" s="170"/>
      <c r="Z44" s="169"/>
      <c r="AA44" s="170"/>
    </row>
    <row r="45" spans="1:27" s="14" customFormat="1">
      <c r="A45" s="80" t="s">
        <v>90</v>
      </c>
      <c r="B45" s="90" t="s">
        <v>94</v>
      </c>
      <c r="C45" s="144"/>
      <c r="D45" s="143"/>
      <c r="E45" s="85"/>
      <c r="F45" s="115"/>
      <c r="G45" s="115"/>
      <c r="H45" s="143"/>
      <c r="I45" s="144"/>
      <c r="J45" s="85"/>
      <c r="K45" s="85"/>
      <c r="L45" s="143"/>
      <c r="M45" s="144"/>
      <c r="N45" s="85"/>
      <c r="O45" s="85"/>
      <c r="P45" s="143"/>
      <c r="Q45" s="144"/>
      <c r="R45" s="143"/>
      <c r="S45" s="166"/>
      <c r="T45" s="169"/>
      <c r="U45" s="170"/>
      <c r="V45" s="169">
        <f>Budget!$J47</f>
        <v>0</v>
      </c>
      <c r="W45" s="170">
        <f>Budget!$K47</f>
        <v>1999.9999999999998</v>
      </c>
      <c r="X45" s="169"/>
      <c r="Y45" s="170"/>
      <c r="Z45" s="169"/>
      <c r="AA45" s="170"/>
    </row>
    <row r="46" spans="1:27" s="14" customFormat="1">
      <c r="A46" s="80" t="s">
        <v>91</v>
      </c>
      <c r="B46" s="90" t="s">
        <v>95</v>
      </c>
      <c r="C46" s="144"/>
      <c r="D46" s="143"/>
      <c r="E46" s="85"/>
      <c r="F46" s="115"/>
      <c r="G46" s="115"/>
      <c r="H46" s="143"/>
      <c r="I46" s="144"/>
      <c r="J46" s="85"/>
      <c r="K46" s="85"/>
      <c r="L46" s="143"/>
      <c r="M46" s="144"/>
      <c r="N46" s="85"/>
      <c r="O46" s="85"/>
      <c r="P46" s="143"/>
      <c r="Q46" s="144"/>
      <c r="R46" s="143"/>
      <c r="S46" s="166"/>
      <c r="T46" s="169"/>
      <c r="U46" s="170"/>
      <c r="V46" s="169">
        <f>Budget!$J48</f>
        <v>0</v>
      </c>
      <c r="W46" s="170">
        <f>Budget!$K48</f>
        <v>3000</v>
      </c>
      <c r="X46" s="169"/>
      <c r="Y46" s="170"/>
      <c r="Z46" s="169"/>
      <c r="AA46" s="170"/>
    </row>
    <row r="47" spans="1:27" s="14" customFormat="1">
      <c r="A47" s="80" t="s">
        <v>96</v>
      </c>
      <c r="B47" s="90" t="s">
        <v>97</v>
      </c>
      <c r="C47" s="144"/>
      <c r="D47" s="143"/>
      <c r="E47" s="85"/>
      <c r="F47" s="115"/>
      <c r="G47" s="115"/>
      <c r="H47" s="143"/>
      <c r="I47" s="144"/>
      <c r="J47" s="85"/>
      <c r="K47" s="85"/>
      <c r="L47" s="143"/>
      <c r="M47" s="144"/>
      <c r="N47" s="85"/>
      <c r="O47" s="85"/>
      <c r="P47" s="143"/>
      <c r="Q47" s="144"/>
      <c r="R47" s="143"/>
      <c r="S47" s="166"/>
      <c r="T47" s="169"/>
      <c r="U47" s="170"/>
      <c r="V47" s="169">
        <f>Budget!$J49</f>
        <v>0</v>
      </c>
      <c r="W47" s="170">
        <f>Budget!$K49</f>
        <v>999.99999999999989</v>
      </c>
      <c r="X47" s="169"/>
      <c r="Y47" s="170"/>
      <c r="Z47" s="169"/>
      <c r="AA47" s="170"/>
    </row>
    <row r="48" spans="1:27" s="14" customFormat="1">
      <c r="A48" s="80">
        <v>4.5</v>
      </c>
      <c r="B48" s="90" t="s">
        <v>98</v>
      </c>
      <c r="C48" s="144"/>
      <c r="D48" s="143"/>
      <c r="E48" s="85"/>
      <c r="F48" s="85"/>
      <c r="G48" s="115"/>
      <c r="H48" s="85"/>
      <c r="I48" s="144"/>
      <c r="J48" s="85"/>
      <c r="K48" s="85"/>
      <c r="L48" s="143"/>
      <c r="M48" s="144"/>
      <c r="N48" s="85"/>
      <c r="O48" s="85"/>
      <c r="P48" s="143"/>
      <c r="Q48" s="144"/>
      <c r="R48" s="143"/>
      <c r="S48" s="166"/>
      <c r="T48" s="169"/>
      <c r="U48" s="170"/>
      <c r="V48" s="169">
        <f>Budget!$J50</f>
        <v>0</v>
      </c>
      <c r="W48" s="170">
        <f>Budget!$K50</f>
        <v>0</v>
      </c>
      <c r="X48" s="169"/>
      <c r="Y48" s="170"/>
      <c r="Z48" s="169"/>
      <c r="AA48" s="170"/>
    </row>
    <row r="49" spans="1:27" s="14" customFormat="1">
      <c r="A49" s="80" t="s">
        <v>99</v>
      </c>
      <c r="B49" s="90" t="s">
        <v>100</v>
      </c>
      <c r="C49" s="144"/>
      <c r="D49" s="143"/>
      <c r="E49" s="144"/>
      <c r="F49" s="85"/>
      <c r="G49" s="115"/>
      <c r="H49" s="85"/>
      <c r="I49" s="144"/>
      <c r="J49" s="85"/>
      <c r="K49" s="85"/>
      <c r="L49" s="143"/>
      <c r="M49" s="144"/>
      <c r="N49" s="85"/>
      <c r="O49" s="85"/>
      <c r="P49" s="143"/>
      <c r="Q49" s="144"/>
      <c r="R49" s="143"/>
      <c r="S49" s="166"/>
      <c r="T49" s="169"/>
      <c r="U49" s="170"/>
      <c r="V49" s="169">
        <f>Budget!$J51</f>
        <v>0</v>
      </c>
      <c r="W49" s="170">
        <f>Budget!$K51</f>
        <v>5000</v>
      </c>
      <c r="X49" s="169"/>
      <c r="Y49" s="170"/>
      <c r="Z49" s="169"/>
      <c r="AA49" s="170"/>
    </row>
    <row r="50" spans="1:27" s="14" customFormat="1">
      <c r="A50" s="80" t="s">
        <v>101</v>
      </c>
      <c r="B50" s="90" t="s">
        <v>45</v>
      </c>
      <c r="C50" s="144"/>
      <c r="D50" s="143"/>
      <c r="E50" s="144"/>
      <c r="F50" s="85"/>
      <c r="G50" s="115"/>
      <c r="H50" s="85"/>
      <c r="I50" s="144"/>
      <c r="J50" s="85"/>
      <c r="K50" s="85"/>
      <c r="L50" s="143"/>
      <c r="M50" s="144"/>
      <c r="N50" s="85"/>
      <c r="O50" s="85"/>
      <c r="P50" s="143"/>
      <c r="Q50" s="144"/>
      <c r="R50" s="143"/>
      <c r="S50" s="167"/>
      <c r="T50" s="177"/>
      <c r="U50" s="170"/>
      <c r="V50" s="169">
        <f>Budget!$J52</f>
        <v>0</v>
      </c>
      <c r="W50" s="170">
        <f>Budget!$K52</f>
        <v>3000</v>
      </c>
      <c r="X50" s="177"/>
      <c r="Y50" s="170"/>
      <c r="Z50" s="177"/>
      <c r="AA50" s="170"/>
    </row>
    <row r="51" spans="1:27" s="14" customFormat="1">
      <c r="A51" s="80">
        <v>4.5999999999999996</v>
      </c>
      <c r="B51" s="92" t="s">
        <v>19</v>
      </c>
      <c r="C51" s="144"/>
      <c r="D51" s="143"/>
      <c r="E51" s="144"/>
      <c r="F51" s="85"/>
      <c r="G51" s="85"/>
      <c r="H51" s="147"/>
      <c r="I51" s="136"/>
      <c r="J51" s="115"/>
      <c r="K51" s="85"/>
      <c r="L51" s="143"/>
      <c r="M51" s="144"/>
      <c r="N51" s="85"/>
      <c r="O51" s="85"/>
      <c r="P51" s="143"/>
      <c r="Q51" s="144"/>
      <c r="R51" s="143"/>
      <c r="S51" s="167"/>
      <c r="T51" s="177"/>
      <c r="U51" s="170"/>
      <c r="V51" s="169">
        <f>Budget!$J53</f>
        <v>0</v>
      </c>
      <c r="W51" s="170">
        <f>Budget!$K53</f>
        <v>0</v>
      </c>
      <c r="X51" s="177"/>
      <c r="Y51" s="170"/>
      <c r="Z51" s="177"/>
      <c r="AA51" s="170"/>
    </row>
    <row r="52" spans="1:27" s="14" customFormat="1">
      <c r="A52" s="80" t="s">
        <v>16</v>
      </c>
      <c r="B52" s="92" t="s">
        <v>20</v>
      </c>
      <c r="C52" s="144"/>
      <c r="D52" s="143"/>
      <c r="E52" s="144"/>
      <c r="F52" s="85"/>
      <c r="G52" s="85"/>
      <c r="H52" s="147"/>
      <c r="I52" s="136"/>
      <c r="J52" s="85"/>
      <c r="K52" s="85"/>
      <c r="L52" s="143"/>
      <c r="M52" s="144"/>
      <c r="N52" s="85"/>
      <c r="O52" s="85"/>
      <c r="P52" s="143"/>
      <c r="Q52" s="144"/>
      <c r="R52" s="143"/>
      <c r="S52" s="167"/>
      <c r="T52" s="177"/>
      <c r="U52" s="170"/>
      <c r="V52" s="169">
        <f>Budget!$J54</f>
        <v>0</v>
      </c>
      <c r="W52" s="170">
        <f>Budget!$K54</f>
        <v>0</v>
      </c>
      <c r="X52" s="177"/>
      <c r="Y52" s="170"/>
      <c r="Z52" s="177"/>
      <c r="AA52" s="170"/>
    </row>
    <row r="53" spans="1:27" s="14" customFormat="1">
      <c r="A53" s="80" t="s">
        <v>17</v>
      </c>
      <c r="B53" s="92" t="s">
        <v>21</v>
      </c>
      <c r="C53" s="144"/>
      <c r="D53" s="143"/>
      <c r="E53" s="144"/>
      <c r="F53" s="85"/>
      <c r="G53" s="85"/>
      <c r="H53" s="143"/>
      <c r="I53" s="135"/>
      <c r="J53" s="115"/>
      <c r="K53" s="85"/>
      <c r="L53" s="143"/>
      <c r="M53" s="144"/>
      <c r="N53" s="85"/>
      <c r="O53" s="85"/>
      <c r="P53" s="143"/>
      <c r="Q53" s="144"/>
      <c r="R53" s="143"/>
      <c r="S53" s="167"/>
      <c r="T53" s="177"/>
      <c r="U53" s="170"/>
      <c r="V53" s="169">
        <f>Budget!$J55</f>
        <v>0</v>
      </c>
      <c r="W53" s="170">
        <f>Budget!$K55</f>
        <v>0</v>
      </c>
      <c r="X53" s="177"/>
      <c r="Y53" s="170"/>
      <c r="Z53" s="177"/>
      <c r="AA53" s="170"/>
    </row>
    <row r="54" spans="1:27" s="14" customFormat="1">
      <c r="A54" s="80" t="s">
        <v>18</v>
      </c>
      <c r="B54" s="92" t="s">
        <v>22</v>
      </c>
      <c r="C54" s="144"/>
      <c r="D54" s="143"/>
      <c r="E54" s="144"/>
      <c r="F54" s="85"/>
      <c r="G54" s="85"/>
      <c r="H54" s="143"/>
      <c r="I54" s="135"/>
      <c r="J54" s="115"/>
      <c r="K54" s="85"/>
      <c r="L54" s="143"/>
      <c r="M54" s="144"/>
      <c r="N54" s="85"/>
      <c r="O54" s="85"/>
      <c r="P54" s="143"/>
      <c r="Q54" s="144"/>
      <c r="R54" s="143"/>
      <c r="S54" s="167"/>
      <c r="T54" s="177"/>
      <c r="U54" s="170"/>
      <c r="V54" s="169">
        <f>Budget!$J56</f>
        <v>0</v>
      </c>
      <c r="W54" s="170">
        <f>Budget!$K56</f>
        <v>0</v>
      </c>
      <c r="X54" s="177"/>
      <c r="Y54" s="170"/>
      <c r="Z54" s="177"/>
      <c r="AA54" s="170"/>
    </row>
    <row r="55" spans="1:27" s="14" customFormat="1">
      <c r="A55" s="80">
        <v>4.7</v>
      </c>
      <c r="B55" s="10" t="s">
        <v>156</v>
      </c>
      <c r="C55" s="144"/>
      <c r="D55" s="143"/>
      <c r="E55" s="144"/>
      <c r="F55" s="85"/>
      <c r="G55" s="85"/>
      <c r="H55" s="143"/>
      <c r="I55" s="136"/>
      <c r="J55" s="115"/>
      <c r="K55" s="85"/>
      <c r="L55" s="143"/>
      <c r="M55" s="144"/>
      <c r="N55" s="85"/>
      <c r="O55" s="85"/>
      <c r="P55" s="143"/>
      <c r="Q55" s="144"/>
      <c r="R55" s="143"/>
      <c r="S55" s="167"/>
      <c r="T55" s="177"/>
      <c r="U55" s="170"/>
      <c r="V55" s="169"/>
      <c r="W55" s="170"/>
      <c r="X55" s="169">
        <f>Budget!$J57</f>
        <v>0</v>
      </c>
      <c r="Y55" s="170">
        <f>Budget!$K57</f>
        <v>7200</v>
      </c>
      <c r="Z55" s="177"/>
      <c r="AA55" s="170"/>
    </row>
    <row r="56" spans="1:27" s="14" customFormat="1">
      <c r="A56" s="80">
        <v>4.8</v>
      </c>
      <c r="B56" s="10" t="s">
        <v>67</v>
      </c>
      <c r="C56" s="144"/>
      <c r="D56" s="143"/>
      <c r="E56" s="144"/>
      <c r="F56" s="85"/>
      <c r="G56" s="85"/>
      <c r="H56" s="143"/>
      <c r="I56" s="144"/>
      <c r="J56" s="85"/>
      <c r="K56" s="115"/>
      <c r="L56" s="115"/>
      <c r="M56" s="144"/>
      <c r="N56" s="85"/>
      <c r="O56" s="85"/>
      <c r="P56" s="143"/>
      <c r="Q56" s="144"/>
      <c r="R56" s="143"/>
      <c r="S56" s="166"/>
      <c r="T56" s="177"/>
      <c r="U56" s="170"/>
      <c r="V56" s="177"/>
      <c r="W56" s="170"/>
      <c r="X56" s="169">
        <f>Budget!$J58</f>
        <v>800.8</v>
      </c>
      <c r="Y56" s="170">
        <f>Budget!$K58</f>
        <v>0</v>
      </c>
      <c r="Z56" s="177"/>
      <c r="AA56" s="170"/>
    </row>
    <row r="57" spans="1:27" s="14" customFormat="1">
      <c r="A57" s="80">
        <v>4.9000000000000004</v>
      </c>
      <c r="B57" s="10" t="s">
        <v>63</v>
      </c>
      <c r="C57" s="144"/>
      <c r="D57" s="143"/>
      <c r="E57" s="144"/>
      <c r="F57" s="85"/>
      <c r="G57" s="85"/>
      <c r="H57" s="143"/>
      <c r="I57" s="144"/>
      <c r="J57" s="85"/>
      <c r="K57" s="115"/>
      <c r="L57" s="115"/>
      <c r="M57" s="144"/>
      <c r="N57" s="85"/>
      <c r="O57" s="85"/>
      <c r="P57" s="143"/>
      <c r="Q57" s="144"/>
      <c r="R57" s="143"/>
      <c r="S57" s="166"/>
      <c r="T57" s="177"/>
      <c r="U57" s="170"/>
      <c r="V57" s="177"/>
      <c r="W57" s="170"/>
      <c r="X57" s="169">
        <f>Budget!$J59</f>
        <v>0</v>
      </c>
      <c r="Y57" s="170">
        <f>Budget!$K59</f>
        <v>0</v>
      </c>
      <c r="Z57" s="177"/>
      <c r="AA57" s="170"/>
    </row>
    <row r="58" spans="1:27">
      <c r="A58" s="36"/>
      <c r="B58" s="112" t="s">
        <v>34</v>
      </c>
      <c r="C58" s="148"/>
      <c r="D58" s="149"/>
      <c r="E58" s="148" t="s">
        <v>43</v>
      </c>
      <c r="F58" s="41" t="s">
        <v>7</v>
      </c>
      <c r="G58" s="41"/>
      <c r="H58" s="149" t="s">
        <v>8</v>
      </c>
      <c r="I58" s="148"/>
      <c r="J58" s="41" t="s">
        <v>9</v>
      </c>
      <c r="K58" s="41" t="s">
        <v>10</v>
      </c>
      <c r="L58" s="149" t="s">
        <v>11</v>
      </c>
      <c r="M58" s="148"/>
      <c r="N58" s="41"/>
      <c r="O58" s="41"/>
      <c r="P58" s="149"/>
      <c r="Q58" s="148"/>
      <c r="R58" s="149"/>
      <c r="S58" s="165" t="s">
        <v>31</v>
      </c>
      <c r="T58" s="171">
        <f>SUM(T28:T57)</f>
        <v>0</v>
      </c>
      <c r="U58" s="172">
        <f t="shared" ref="U58:AA58" si="8">SUM(U28:U57)</f>
        <v>0</v>
      </c>
      <c r="V58" s="171" t="e">
        <f t="shared" si="8"/>
        <v>#REF!</v>
      </c>
      <c r="W58" s="172" t="e">
        <f t="shared" si="8"/>
        <v>#REF!</v>
      </c>
      <c r="X58" s="171">
        <f t="shared" si="8"/>
        <v>800.8</v>
      </c>
      <c r="Y58" s="172">
        <f t="shared" si="8"/>
        <v>7200</v>
      </c>
      <c r="Z58" s="171">
        <f t="shared" si="8"/>
        <v>0</v>
      </c>
      <c r="AA58" s="172">
        <f t="shared" si="8"/>
        <v>0</v>
      </c>
    </row>
    <row r="59" spans="1:27" s="14" customFormat="1">
      <c r="A59" s="45">
        <v>5</v>
      </c>
      <c r="B59" s="89" t="s">
        <v>114</v>
      </c>
      <c r="C59" s="140"/>
      <c r="D59" s="141"/>
      <c r="E59" s="140"/>
      <c r="F59" s="114"/>
      <c r="G59" s="114"/>
      <c r="H59" s="141"/>
      <c r="I59" s="140"/>
      <c r="J59" s="114"/>
      <c r="K59" s="114"/>
      <c r="L59" s="141"/>
      <c r="M59" s="140"/>
      <c r="N59" s="114"/>
      <c r="O59" s="114"/>
      <c r="P59" s="141"/>
      <c r="Q59" s="140"/>
      <c r="R59" s="141"/>
      <c r="S59" s="166"/>
      <c r="T59" s="173"/>
      <c r="U59" s="174"/>
      <c r="V59" s="173"/>
      <c r="W59" s="174"/>
      <c r="X59" s="173"/>
      <c r="Y59" s="174"/>
      <c r="Z59" s="173"/>
      <c r="AA59" s="174"/>
    </row>
    <row r="60" spans="1:27">
      <c r="A60" s="10">
        <v>5.0999999999999996</v>
      </c>
      <c r="B60" s="88" t="s">
        <v>132</v>
      </c>
      <c r="C60" s="122"/>
      <c r="D60" s="123"/>
      <c r="E60" s="115"/>
      <c r="F60" s="115"/>
      <c r="G60" s="115"/>
      <c r="H60" s="115"/>
      <c r="I60" s="122"/>
      <c r="J60" s="86"/>
      <c r="K60" s="86"/>
      <c r="L60" s="123"/>
      <c r="M60" s="122"/>
      <c r="N60" s="86"/>
      <c r="O60" s="86"/>
      <c r="P60" s="123"/>
      <c r="Q60" s="122"/>
      <c r="R60" s="123"/>
      <c r="T60" s="169"/>
      <c r="U60" s="170"/>
      <c r="V60" s="169">
        <f>Budget!$J69</f>
        <v>0</v>
      </c>
      <c r="W60" s="170">
        <f>Budget!$K69</f>
        <v>0</v>
      </c>
      <c r="X60" s="169"/>
      <c r="Y60" s="170"/>
      <c r="Z60" s="169"/>
      <c r="AA60" s="170"/>
    </row>
    <row r="61" spans="1:27">
      <c r="A61" s="10" t="s">
        <v>133</v>
      </c>
      <c r="B61" s="93" t="s">
        <v>115</v>
      </c>
      <c r="C61" s="150"/>
      <c r="D61" s="151"/>
      <c r="E61" s="115"/>
      <c r="F61" s="115"/>
      <c r="G61" s="115"/>
      <c r="H61" s="115"/>
      <c r="I61" s="150"/>
      <c r="J61" s="117"/>
      <c r="K61" s="117"/>
      <c r="L61" s="151"/>
      <c r="M61" s="150"/>
      <c r="N61" s="117"/>
      <c r="O61" s="117"/>
      <c r="P61" s="151"/>
      <c r="Q61" s="150"/>
      <c r="R61" s="151"/>
      <c r="T61" s="169"/>
      <c r="U61" s="170"/>
      <c r="V61" s="169" t="e">
        <f>Budget!#REF!</f>
        <v>#REF!</v>
      </c>
      <c r="W61" s="170" t="e">
        <f>Budget!#REF!</f>
        <v>#REF!</v>
      </c>
      <c r="X61" s="169"/>
      <c r="Y61" s="170"/>
      <c r="Z61" s="169"/>
      <c r="AA61" s="170"/>
    </row>
    <row r="62" spans="1:27">
      <c r="A62" s="10" t="s">
        <v>134</v>
      </c>
      <c r="B62" s="93" t="s">
        <v>116</v>
      </c>
      <c r="C62" s="150"/>
      <c r="D62" s="151"/>
      <c r="E62" s="115"/>
      <c r="F62" s="115"/>
      <c r="G62" s="115"/>
      <c r="H62" s="115"/>
      <c r="I62" s="150"/>
      <c r="J62" s="117"/>
      <c r="K62" s="117"/>
      <c r="L62" s="151"/>
      <c r="M62" s="150"/>
      <c r="N62" s="117"/>
      <c r="O62" s="117"/>
      <c r="P62" s="151"/>
      <c r="Q62" s="150"/>
      <c r="R62" s="151"/>
      <c r="T62" s="169"/>
      <c r="U62" s="170"/>
      <c r="V62" s="169" t="e">
        <f>Budget!#REF!</f>
        <v>#REF!</v>
      </c>
      <c r="W62" s="170" t="e">
        <f>Budget!#REF!</f>
        <v>#REF!</v>
      </c>
      <c r="X62" s="169"/>
      <c r="Y62" s="170"/>
      <c r="Z62" s="169"/>
      <c r="AA62" s="170"/>
    </row>
    <row r="63" spans="1:27">
      <c r="A63" s="10" t="s">
        <v>158</v>
      </c>
      <c r="B63" s="93" t="s">
        <v>117</v>
      </c>
      <c r="C63" s="150"/>
      <c r="D63" s="151"/>
      <c r="E63" s="115"/>
      <c r="F63" s="115"/>
      <c r="G63" s="115"/>
      <c r="H63" s="115"/>
      <c r="I63" s="150"/>
      <c r="J63" s="117"/>
      <c r="K63" s="117"/>
      <c r="L63" s="151"/>
      <c r="M63" s="150"/>
      <c r="N63" s="117"/>
      <c r="O63" s="117"/>
      <c r="P63" s="151"/>
      <c r="Q63" s="150"/>
      <c r="R63" s="151"/>
      <c r="T63" s="169"/>
      <c r="U63" s="170"/>
      <c r="V63" s="169">
        <f>Budget!$J70</f>
        <v>38220</v>
      </c>
      <c r="W63" s="170">
        <f>Budget!$K70</f>
        <v>0</v>
      </c>
      <c r="X63" s="169"/>
      <c r="Y63" s="170"/>
      <c r="Z63" s="169"/>
      <c r="AA63" s="170"/>
    </row>
    <row r="64" spans="1:27">
      <c r="A64" s="10" t="s">
        <v>160</v>
      </c>
      <c r="B64" s="93" t="s">
        <v>118</v>
      </c>
      <c r="C64" s="150"/>
      <c r="D64" s="151"/>
      <c r="E64" s="115"/>
      <c r="F64" s="115"/>
      <c r="G64" s="115"/>
      <c r="H64" s="115"/>
      <c r="I64" s="150"/>
      <c r="J64" s="117"/>
      <c r="K64" s="117"/>
      <c r="L64" s="151"/>
      <c r="M64" s="150"/>
      <c r="N64" s="117"/>
      <c r="O64" s="117"/>
      <c r="P64" s="151"/>
      <c r="Q64" s="150"/>
      <c r="R64" s="151"/>
      <c r="T64" s="169"/>
      <c r="U64" s="170"/>
      <c r="V64" s="169">
        <f>Budget!$J71</f>
        <v>0</v>
      </c>
      <c r="W64" s="170">
        <f>Budget!$K71</f>
        <v>4914</v>
      </c>
      <c r="X64" s="169"/>
      <c r="Y64" s="170"/>
      <c r="Z64" s="169"/>
      <c r="AA64" s="170"/>
    </row>
    <row r="65" spans="1:27">
      <c r="A65" s="10" t="s">
        <v>161</v>
      </c>
      <c r="B65" s="93" t="s">
        <v>159</v>
      </c>
      <c r="C65" s="150"/>
      <c r="D65" s="151"/>
      <c r="E65" s="115"/>
      <c r="F65" s="115"/>
      <c r="G65" s="115"/>
      <c r="H65" s="115"/>
      <c r="I65" s="150"/>
      <c r="J65" s="117"/>
      <c r="K65" s="117"/>
      <c r="L65" s="151"/>
      <c r="M65" s="150"/>
      <c r="N65" s="117"/>
      <c r="O65" s="117"/>
      <c r="P65" s="151"/>
      <c r="Q65" s="150"/>
      <c r="R65" s="151"/>
      <c r="T65" s="169"/>
      <c r="U65" s="170"/>
      <c r="V65" s="169">
        <f>Budget!$J72</f>
        <v>5460</v>
      </c>
      <c r="W65" s="170">
        <f>Budget!$K72</f>
        <v>0</v>
      </c>
      <c r="X65" s="169"/>
      <c r="Y65" s="170"/>
      <c r="Z65" s="169"/>
      <c r="AA65" s="170"/>
    </row>
    <row r="66" spans="1:27">
      <c r="A66" s="10" t="s">
        <v>162</v>
      </c>
      <c r="B66" s="93" t="s">
        <v>163</v>
      </c>
      <c r="C66" s="150"/>
      <c r="D66" s="151"/>
      <c r="E66" s="115"/>
      <c r="F66" s="115"/>
      <c r="G66" s="115"/>
      <c r="H66" s="115"/>
      <c r="I66" s="150"/>
      <c r="J66" s="117"/>
      <c r="K66" s="117"/>
      <c r="L66" s="151"/>
      <c r="M66" s="150"/>
      <c r="N66" s="117"/>
      <c r="O66" s="117"/>
      <c r="P66" s="151"/>
      <c r="Q66" s="150"/>
      <c r="R66" s="151"/>
      <c r="T66" s="169"/>
      <c r="U66" s="170"/>
      <c r="V66" s="169">
        <f>Budget!$J73</f>
        <v>1092</v>
      </c>
      <c r="W66" s="170">
        <f>Budget!$K73</f>
        <v>0</v>
      </c>
      <c r="X66" s="169"/>
      <c r="Y66" s="170"/>
      <c r="Z66" s="169"/>
      <c r="AA66" s="170"/>
    </row>
    <row r="67" spans="1:27">
      <c r="A67" s="10">
        <v>5.2</v>
      </c>
      <c r="B67" s="88" t="s">
        <v>120</v>
      </c>
      <c r="C67" s="122"/>
      <c r="D67" s="123"/>
      <c r="E67" s="122"/>
      <c r="F67" s="86"/>
      <c r="G67" s="86"/>
      <c r="H67" s="123"/>
      <c r="I67" s="122"/>
      <c r="J67" s="115"/>
      <c r="K67" s="86"/>
      <c r="L67" s="123"/>
      <c r="M67" s="122"/>
      <c r="N67" s="86"/>
      <c r="O67" s="86"/>
      <c r="P67" s="123"/>
      <c r="Q67" s="122"/>
      <c r="R67" s="123"/>
      <c r="T67" s="169"/>
      <c r="U67" s="170"/>
      <c r="V67" s="169"/>
      <c r="W67" s="170"/>
      <c r="X67" s="169">
        <f>Budget!$J74</f>
        <v>0</v>
      </c>
      <c r="Y67" s="170">
        <f>Budget!$K74</f>
        <v>0</v>
      </c>
      <c r="Z67" s="169"/>
      <c r="AA67" s="170"/>
    </row>
    <row r="68" spans="1:27">
      <c r="A68" s="10" t="s">
        <v>119</v>
      </c>
      <c r="B68" s="88" t="s">
        <v>121</v>
      </c>
      <c r="C68" s="122"/>
      <c r="D68" s="123"/>
      <c r="E68" s="122"/>
      <c r="F68" s="86"/>
      <c r="G68" s="86"/>
      <c r="H68" s="123"/>
      <c r="I68" s="122"/>
      <c r="J68" s="115"/>
      <c r="K68" s="86"/>
      <c r="L68" s="123"/>
      <c r="M68" s="122"/>
      <c r="N68" s="86"/>
      <c r="O68" s="86"/>
      <c r="P68" s="123"/>
      <c r="Q68" s="122"/>
      <c r="R68" s="123"/>
      <c r="T68" s="169"/>
      <c r="U68" s="170"/>
      <c r="V68" s="169"/>
      <c r="W68" s="170"/>
      <c r="X68" s="169">
        <f>Budget!$J75</f>
        <v>0</v>
      </c>
      <c r="Y68" s="170">
        <f>Budget!$K75</f>
        <v>0</v>
      </c>
      <c r="Z68" s="169"/>
      <c r="AA68" s="170"/>
    </row>
    <row r="69" spans="1:27">
      <c r="A69" s="10" t="s">
        <v>122</v>
      </c>
      <c r="B69" s="88" t="s">
        <v>123</v>
      </c>
      <c r="C69" s="122"/>
      <c r="D69" s="123"/>
      <c r="E69" s="122"/>
      <c r="F69" s="86"/>
      <c r="G69" s="86"/>
      <c r="H69" s="123"/>
      <c r="I69" s="122"/>
      <c r="J69" s="115"/>
      <c r="K69" s="86"/>
      <c r="L69" s="123"/>
      <c r="M69" s="122"/>
      <c r="N69" s="86"/>
      <c r="O69" s="86"/>
      <c r="P69" s="123"/>
      <c r="Q69" s="122"/>
      <c r="R69" s="123"/>
      <c r="T69" s="169"/>
      <c r="U69" s="170"/>
      <c r="V69" s="169"/>
      <c r="W69" s="170"/>
      <c r="X69" s="169">
        <f>Budget!$J76</f>
        <v>25200</v>
      </c>
      <c r="Y69" s="170">
        <f>Budget!$K76</f>
        <v>0</v>
      </c>
      <c r="Z69" s="169"/>
      <c r="AA69" s="170"/>
    </row>
    <row r="70" spans="1:27">
      <c r="A70" s="36"/>
      <c r="B70" s="112" t="s">
        <v>35</v>
      </c>
      <c r="C70" s="148"/>
      <c r="D70" s="149"/>
      <c r="E70" s="148"/>
      <c r="F70" s="41"/>
      <c r="G70" s="41" t="s">
        <v>43</v>
      </c>
      <c r="H70" s="149"/>
      <c r="I70" s="148" t="s">
        <v>44</v>
      </c>
      <c r="J70" s="41"/>
      <c r="K70" s="41"/>
      <c r="L70" s="149"/>
      <c r="M70" s="148"/>
      <c r="N70" s="41"/>
      <c r="O70" s="41"/>
      <c r="P70" s="149"/>
      <c r="Q70" s="148"/>
      <c r="R70" s="149"/>
      <c r="S70" s="165" t="s">
        <v>31</v>
      </c>
      <c r="T70" s="171">
        <f>SUM(T60:T69)</f>
        <v>0</v>
      </c>
      <c r="U70" s="172">
        <f t="shared" ref="U70:AA70" si="9">SUM(U60:U69)</f>
        <v>0</v>
      </c>
      <c r="V70" s="171" t="e">
        <f t="shared" si="9"/>
        <v>#REF!</v>
      </c>
      <c r="W70" s="172" t="e">
        <f t="shared" si="9"/>
        <v>#REF!</v>
      </c>
      <c r="X70" s="171">
        <f t="shared" si="9"/>
        <v>25200</v>
      </c>
      <c r="Y70" s="172">
        <f t="shared" si="9"/>
        <v>0</v>
      </c>
      <c r="Z70" s="171">
        <f t="shared" si="9"/>
        <v>0</v>
      </c>
      <c r="AA70" s="172">
        <f t="shared" si="9"/>
        <v>0</v>
      </c>
    </row>
    <row r="71" spans="1:27">
      <c r="A71" s="84">
        <v>6</v>
      </c>
      <c r="B71" s="94" t="s">
        <v>153</v>
      </c>
      <c r="C71" s="152"/>
      <c r="D71" s="153"/>
      <c r="E71" s="152"/>
      <c r="F71" s="118"/>
      <c r="G71" s="118"/>
      <c r="H71" s="153"/>
      <c r="I71" s="152"/>
      <c r="J71" s="118"/>
      <c r="K71" s="118"/>
      <c r="L71" s="153"/>
      <c r="M71" s="152"/>
      <c r="N71" s="118"/>
      <c r="O71" s="118"/>
      <c r="P71" s="153"/>
      <c r="Q71" s="152"/>
      <c r="R71" s="153"/>
      <c r="T71" s="178"/>
      <c r="U71" s="179"/>
      <c r="V71" s="178"/>
      <c r="W71" s="179"/>
      <c r="X71" s="178"/>
      <c r="Y71" s="179"/>
      <c r="Z71" s="178"/>
      <c r="AA71" s="179"/>
    </row>
    <row r="72" spans="1:27">
      <c r="A72" s="10">
        <v>6.1</v>
      </c>
      <c r="B72" s="95" t="s">
        <v>154</v>
      </c>
      <c r="C72" s="154"/>
      <c r="D72" s="155"/>
      <c r="E72" s="154"/>
      <c r="F72" s="119"/>
      <c r="G72" s="119"/>
      <c r="H72" s="147"/>
      <c r="I72" s="136"/>
      <c r="J72" s="115"/>
      <c r="K72" s="115"/>
      <c r="L72" s="115"/>
      <c r="M72" s="154"/>
      <c r="N72" s="119"/>
      <c r="O72" s="119"/>
      <c r="P72" s="155"/>
      <c r="Q72" s="154"/>
      <c r="R72" s="155"/>
      <c r="T72" s="180"/>
      <c r="U72" s="181"/>
      <c r="V72" s="180"/>
      <c r="W72" s="181"/>
      <c r="X72" s="169">
        <f>Budget!$J79</f>
        <v>0</v>
      </c>
      <c r="Y72" s="170">
        <f>Budget!$K79</f>
        <v>8190</v>
      </c>
      <c r="Z72" s="180"/>
      <c r="AA72" s="181"/>
    </row>
    <row r="73" spans="1:27">
      <c r="A73" s="10">
        <v>6.2</v>
      </c>
      <c r="B73" s="95" t="s">
        <v>155</v>
      </c>
      <c r="C73" s="154"/>
      <c r="D73" s="155"/>
      <c r="E73" s="154"/>
      <c r="F73" s="119"/>
      <c r="G73" s="119"/>
      <c r="H73" s="147"/>
      <c r="I73" s="136"/>
      <c r="J73" s="115"/>
      <c r="K73" s="115"/>
      <c r="L73" s="115"/>
      <c r="M73" s="154"/>
      <c r="N73" s="119"/>
      <c r="O73" s="119"/>
      <c r="P73" s="155"/>
      <c r="Q73" s="154"/>
      <c r="R73" s="155"/>
      <c r="T73" s="180"/>
      <c r="U73" s="181"/>
      <c r="V73" s="180"/>
      <c r="W73" s="181"/>
      <c r="X73" s="169">
        <f>Budget!$J80</f>
        <v>0</v>
      </c>
      <c r="Y73" s="170">
        <f>Budget!$K80</f>
        <v>2457</v>
      </c>
      <c r="Z73" s="180"/>
      <c r="AA73" s="181"/>
    </row>
    <row r="74" spans="1:27">
      <c r="A74" s="36"/>
      <c r="B74" s="112" t="s">
        <v>36</v>
      </c>
      <c r="C74" s="148"/>
      <c r="D74" s="149"/>
      <c r="E74" s="148"/>
      <c r="F74" s="41"/>
      <c r="G74" s="41"/>
      <c r="H74" s="149"/>
      <c r="I74" s="148"/>
      <c r="J74" s="41"/>
      <c r="K74" s="41"/>
      <c r="L74" s="149" t="s">
        <v>43</v>
      </c>
      <c r="M74" s="148"/>
      <c r="N74" s="41"/>
      <c r="O74" s="41"/>
      <c r="P74" s="149"/>
      <c r="Q74" s="148"/>
      <c r="R74" s="149"/>
      <c r="S74" s="165" t="s">
        <v>31</v>
      </c>
      <c r="T74" s="171">
        <f>SUM(T72:T73)</f>
        <v>0</v>
      </c>
      <c r="U74" s="172">
        <f t="shared" ref="U74:AA74" si="10">SUM(U72:U73)</f>
        <v>0</v>
      </c>
      <c r="V74" s="171">
        <f t="shared" si="10"/>
        <v>0</v>
      </c>
      <c r="W74" s="172">
        <f t="shared" si="10"/>
        <v>0</v>
      </c>
      <c r="X74" s="171">
        <f t="shared" si="10"/>
        <v>0</v>
      </c>
      <c r="Y74" s="172">
        <f t="shared" si="10"/>
        <v>10647</v>
      </c>
      <c r="Z74" s="171">
        <f t="shared" si="10"/>
        <v>0</v>
      </c>
      <c r="AA74" s="172">
        <f t="shared" si="10"/>
        <v>0</v>
      </c>
    </row>
    <row r="75" spans="1:27">
      <c r="A75" s="84">
        <v>7</v>
      </c>
      <c r="B75" s="113" t="s">
        <v>64</v>
      </c>
      <c r="C75" s="156"/>
      <c r="D75" s="157"/>
      <c r="E75" s="156"/>
      <c r="F75" s="120"/>
      <c r="G75" s="120"/>
      <c r="H75" s="157"/>
      <c r="I75" s="156"/>
      <c r="J75" s="120"/>
      <c r="K75" s="120"/>
      <c r="L75" s="157"/>
      <c r="M75" s="156"/>
      <c r="N75" s="120"/>
      <c r="O75" s="120"/>
      <c r="P75" s="157"/>
      <c r="Q75" s="156"/>
      <c r="R75" s="157"/>
      <c r="T75" s="175"/>
      <c r="U75" s="176"/>
      <c r="V75" s="175"/>
      <c r="W75" s="176"/>
      <c r="X75" s="175"/>
      <c r="Y75" s="176"/>
      <c r="Z75" s="175"/>
      <c r="AA75" s="176"/>
    </row>
    <row r="76" spans="1:27" s="18" customFormat="1">
      <c r="A76" s="10">
        <v>7.1</v>
      </c>
      <c r="B76" s="90" t="s">
        <v>65</v>
      </c>
      <c r="C76" s="144"/>
      <c r="D76" s="143"/>
      <c r="E76" s="144"/>
      <c r="F76" s="85"/>
      <c r="G76" s="85"/>
      <c r="H76" s="143"/>
      <c r="I76" s="144"/>
      <c r="J76" s="85"/>
      <c r="K76" s="85"/>
      <c r="L76" s="115"/>
      <c r="M76" s="144"/>
      <c r="N76" s="85"/>
      <c r="O76" s="85"/>
      <c r="P76" s="143"/>
      <c r="Q76" s="144"/>
      <c r="R76" s="143"/>
      <c r="S76" s="168"/>
      <c r="T76" s="169"/>
      <c r="U76" s="170"/>
      <c r="V76" s="169"/>
      <c r="W76" s="170"/>
      <c r="X76" s="169" t="e">
        <f>Budget!#REF!</f>
        <v>#REF!</v>
      </c>
      <c r="Y76" s="170" t="e">
        <f>Budget!#REF!</f>
        <v>#REF!</v>
      </c>
      <c r="Z76" s="169"/>
      <c r="AA76" s="170"/>
    </row>
    <row r="77" spans="1:27">
      <c r="A77" s="36"/>
      <c r="B77" s="112" t="s">
        <v>37</v>
      </c>
      <c r="C77" s="148"/>
      <c r="D77" s="149"/>
      <c r="E77" s="148"/>
      <c r="F77" s="41"/>
      <c r="G77" s="41"/>
      <c r="H77" s="149"/>
      <c r="I77" s="148"/>
      <c r="J77" s="41"/>
      <c r="K77" s="41" t="s">
        <v>43</v>
      </c>
      <c r="L77" s="149" t="s">
        <v>7</v>
      </c>
      <c r="M77" s="148"/>
      <c r="N77" s="41"/>
      <c r="O77" s="41"/>
      <c r="P77" s="149"/>
      <c r="Q77" s="148"/>
      <c r="R77" s="149"/>
      <c r="S77" s="165" t="s">
        <v>31</v>
      </c>
      <c r="T77" s="171">
        <f>SUM(T76)</f>
        <v>0</v>
      </c>
      <c r="U77" s="172">
        <f t="shared" ref="U77:AA77" si="11">SUM(U76)</f>
        <v>0</v>
      </c>
      <c r="V77" s="171">
        <f t="shared" si="11"/>
        <v>0</v>
      </c>
      <c r="W77" s="172">
        <f t="shared" si="11"/>
        <v>0</v>
      </c>
      <c r="X77" s="171" t="e">
        <f t="shared" si="11"/>
        <v>#REF!</v>
      </c>
      <c r="Y77" s="172" t="e">
        <f t="shared" si="11"/>
        <v>#REF!</v>
      </c>
      <c r="Z77" s="171">
        <f t="shared" si="11"/>
        <v>0</v>
      </c>
      <c r="AA77" s="172">
        <f t="shared" si="11"/>
        <v>0</v>
      </c>
    </row>
    <row r="78" spans="1:27">
      <c r="A78" s="84">
        <v>8</v>
      </c>
      <c r="B78" s="113" t="s">
        <v>54</v>
      </c>
      <c r="C78" s="156"/>
      <c r="D78" s="157"/>
      <c r="E78" s="156"/>
      <c r="F78" s="120"/>
      <c r="G78" s="120"/>
      <c r="H78" s="157"/>
      <c r="I78" s="156"/>
      <c r="J78" s="120"/>
      <c r="K78" s="120"/>
      <c r="L78" s="157"/>
      <c r="M78" s="156"/>
      <c r="N78" s="120"/>
      <c r="O78" s="120"/>
      <c r="P78" s="157"/>
      <c r="Q78" s="156"/>
      <c r="R78" s="157"/>
      <c r="T78" s="175"/>
      <c r="U78" s="176"/>
      <c r="V78" s="175"/>
      <c r="W78" s="176"/>
      <c r="X78" s="175"/>
      <c r="Y78" s="176"/>
      <c r="Z78" s="175"/>
      <c r="AA78" s="176"/>
    </row>
    <row r="79" spans="1:27" s="18" customFormat="1">
      <c r="A79" s="10">
        <v>8.1</v>
      </c>
      <c r="B79" s="90" t="s">
        <v>53</v>
      </c>
      <c r="C79" s="144"/>
      <c r="D79" s="143"/>
      <c r="E79" s="144"/>
      <c r="F79" s="85"/>
      <c r="G79" s="85"/>
      <c r="H79" s="143"/>
      <c r="I79" s="144"/>
      <c r="J79" s="85"/>
      <c r="K79" s="115"/>
      <c r="L79" s="147"/>
      <c r="M79" s="136"/>
      <c r="N79" s="115"/>
      <c r="O79" s="115"/>
      <c r="P79" s="115"/>
      <c r="Q79" s="144"/>
      <c r="R79" s="143"/>
      <c r="S79" s="168"/>
      <c r="T79" s="169"/>
      <c r="U79" s="170"/>
      <c r="V79" s="169"/>
      <c r="W79" s="170"/>
      <c r="X79" s="169" t="e">
        <f>Budget!#REF!</f>
        <v>#REF!</v>
      </c>
      <c r="Y79" s="170" t="e">
        <f>Budget!#REF!</f>
        <v>#REF!</v>
      </c>
      <c r="Z79" s="169"/>
      <c r="AA79" s="170"/>
    </row>
    <row r="80" spans="1:27" ht="15" thickBot="1">
      <c r="A80" s="36"/>
      <c r="B80" s="112" t="s">
        <v>38</v>
      </c>
      <c r="C80" s="161"/>
      <c r="D80" s="162"/>
      <c r="E80" s="161"/>
      <c r="F80" s="163"/>
      <c r="G80" s="163"/>
      <c r="H80" s="162"/>
      <c r="I80" s="161"/>
      <c r="J80" s="163"/>
      <c r="K80" s="163"/>
      <c r="L80" s="162" t="s">
        <v>40</v>
      </c>
      <c r="M80" s="163" t="s">
        <v>7</v>
      </c>
      <c r="N80" s="163"/>
      <c r="O80" s="163"/>
      <c r="P80" s="162" t="s">
        <v>1</v>
      </c>
      <c r="Q80" s="161"/>
      <c r="R80" s="162" t="s">
        <v>12</v>
      </c>
      <c r="S80" s="165" t="s">
        <v>31</v>
      </c>
      <c r="T80" s="184">
        <f>SUM(T79)</f>
        <v>0</v>
      </c>
      <c r="U80" s="185">
        <f t="shared" ref="U80:AA80" si="12">SUM(U79)</f>
        <v>0</v>
      </c>
      <c r="V80" s="184">
        <f t="shared" si="12"/>
        <v>0</v>
      </c>
      <c r="W80" s="185">
        <f t="shared" si="12"/>
        <v>0</v>
      </c>
      <c r="X80" s="184" t="e">
        <f t="shared" si="12"/>
        <v>#REF!</v>
      </c>
      <c r="Y80" s="185" t="e">
        <f t="shared" si="12"/>
        <v>#REF!</v>
      </c>
      <c r="Z80" s="184">
        <f t="shared" si="12"/>
        <v>0</v>
      </c>
      <c r="AA80" s="185">
        <f t="shared" si="12"/>
        <v>0</v>
      </c>
    </row>
    <row r="81" spans="19:27" ht="15" thickBot="1">
      <c r="S81" s="165" t="s">
        <v>13</v>
      </c>
      <c r="T81" s="187" t="e">
        <f>T9+T15+T26+T58+T70+T74+T77+T80</f>
        <v>#REF!</v>
      </c>
      <c r="U81" s="189" t="e">
        <f t="shared" ref="U81:AA81" si="13">U9+U15+U26+U58+U70+U74+U77+U80</f>
        <v>#REF!</v>
      </c>
      <c r="V81" s="188" t="e">
        <f t="shared" si="13"/>
        <v>#REF!</v>
      </c>
      <c r="W81" s="189" t="e">
        <f t="shared" si="13"/>
        <v>#REF!</v>
      </c>
      <c r="X81" s="187" t="e">
        <f t="shared" si="13"/>
        <v>#REF!</v>
      </c>
      <c r="Y81" s="189" t="e">
        <f t="shared" si="13"/>
        <v>#REF!</v>
      </c>
      <c r="Z81" s="188">
        <f t="shared" si="13"/>
        <v>0</v>
      </c>
      <c r="AA81" s="189">
        <f t="shared" si="13"/>
        <v>0</v>
      </c>
    </row>
    <row r="82" spans="19:27" ht="12">
      <c r="S82" s="3"/>
      <c r="W82" s="186"/>
      <c r="Y82" s="186"/>
    </row>
  </sheetData>
  <dataConsolidate/>
  <phoneticPr fontId="16" type="noConversion"/>
  <pageMargins left="0.75" right="0.75" top="1" bottom="1" header="0.5" footer="0.5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Seppo Penttila</cp:lastModifiedBy>
  <cp:lastPrinted>2013-01-08T13:40:34Z</cp:lastPrinted>
  <dcterms:created xsi:type="dcterms:W3CDTF">2003-04-04T11:05:28Z</dcterms:created>
  <dcterms:modified xsi:type="dcterms:W3CDTF">2013-01-08T13:56:41Z</dcterms:modified>
</cp:coreProperties>
</file>